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45" windowWidth="21090" windowHeight="11385" activeTab="1"/>
  </bookViews>
  <sheets>
    <sheet name="Model" sheetId="1" r:id="rId1"/>
    <sheet name="Instructions" sheetId="2" r:id="rId2"/>
    <sheet name="Age structure predictor" sheetId="3" state="hidden" r:id="rId3"/>
  </sheets>
  <externalReferences>
    <externalReference r:id="rId6"/>
  </externalReferences>
  <definedNames>
    <definedName name="Buck_fawns">'[1]Simple teach example'!$C$20</definedName>
    <definedName name="Bucks">'[1]Simple teach example'!$C$18</definedName>
    <definedName name="Doe_fawns">'[1]Simple teach example'!$C$17</definedName>
    <definedName name="doecull">'[1]Simple teach example'!$D$15</definedName>
    <definedName name="DoeMortality_rate">'[1]Simple teach example'!$D$5</definedName>
    <definedName name="DoeRemainder">'[1]Simple teach example'!$E$15</definedName>
    <definedName name="DoesYr1">'[1]Simple teach example'!$C$15</definedName>
    <definedName name="GET200">'[1]MODEL'!$O$17:$O$31</definedName>
    <definedName name="KILLEM">'[1]MODEL'!$O$4:$O$12</definedName>
    <definedName name="LEASTCOST200">'[1]MODEL'!$O$36:$O$51</definedName>
    <definedName name="Remainingdoes">'[1]Simple teach example'!$G$15</definedName>
    <definedName name="remainingYdoes">'[1]Simple teach example'!$G$16</definedName>
    <definedName name="Y.Bucks">'[1]Simple teach example'!$C$19</definedName>
    <definedName name="Y_Does">'[1]Simple teach example'!$C$16</definedName>
    <definedName name="Ydoesyr1">'[1]Simple teach example'!$C$16:$C$20</definedName>
  </definedNames>
  <calcPr fullCalcOnLoad="1"/>
</workbook>
</file>

<file path=xl/comments1.xml><?xml version="1.0" encoding="utf-8"?>
<comments xmlns="http://schemas.openxmlformats.org/spreadsheetml/2006/main">
  <authors>
    <author>cordery</author>
  </authors>
  <commentList>
    <comment ref="E5" authorId="0">
      <text>
        <r>
          <rPr>
            <b/>
            <sz val="8"/>
            <rFont val="Tahoma"/>
            <family val="0"/>
          </rPr>
          <t>estimated from pregnancy rates in culled animals, or use suggested parameter tables to the right</t>
        </r>
        <r>
          <rPr>
            <sz val="8"/>
            <rFont val="Tahoma"/>
            <family val="0"/>
          </rPr>
          <t xml:space="preserve">
</t>
        </r>
      </text>
    </comment>
    <comment ref="D5" authorId="0">
      <text>
        <r>
          <rPr>
            <b/>
            <sz val="8"/>
            <rFont val="Tahoma"/>
            <family val="0"/>
          </rPr>
          <t>use your figures or copy from tables on the right</t>
        </r>
      </text>
    </comment>
    <comment ref="D30" authorId="0">
      <text>
        <r>
          <rPr>
            <b/>
            <sz val="8"/>
            <rFont val="Tahoma"/>
            <family val="2"/>
          </rPr>
          <t>Type in the cull for this year.  You can copy these to the other years or type each year's cull seperately.
See instructions.</t>
        </r>
        <r>
          <rPr>
            <sz val="8"/>
            <rFont val="Tahoma"/>
            <family val="0"/>
          </rPr>
          <t xml:space="preserve">
</t>
        </r>
      </text>
    </comment>
    <comment ref="C30" authorId="0">
      <text>
        <r>
          <rPr>
            <b/>
            <sz val="8"/>
            <rFont val="Tahoma"/>
            <family val="0"/>
          </rPr>
          <t>Type in your figures here or use the starting population calculator above to generate starting figures then type those in.</t>
        </r>
        <r>
          <rPr>
            <sz val="8"/>
            <rFont val="Tahoma"/>
            <family val="0"/>
          </rPr>
          <t xml:space="preserve">
</t>
        </r>
      </text>
    </comment>
    <comment ref="E16" authorId="0">
      <text>
        <r>
          <rPr>
            <b/>
            <sz val="8"/>
            <rFont val="Tahoma"/>
            <family val="0"/>
          </rPr>
          <t>See Instruction sheet.
If you have no detailed population figures insert estimates for the total number of females and the number of females per male below, detailed figures will be calculated automatically.</t>
        </r>
        <r>
          <rPr>
            <sz val="8"/>
            <rFont val="Tahoma"/>
            <family val="0"/>
          </rPr>
          <t xml:space="preserve">
</t>
        </r>
      </text>
    </comment>
  </commentList>
</comments>
</file>

<file path=xl/comments3.xml><?xml version="1.0" encoding="utf-8"?>
<comments xmlns="http://schemas.openxmlformats.org/spreadsheetml/2006/main">
  <authors>
    <author>Helen Armstrong</author>
  </authors>
  <commentList>
    <comment ref="P3" authorId="0">
      <text>
        <r>
          <rPr>
            <b/>
            <sz val="8"/>
            <rFont val="Tahoma"/>
            <family val="0"/>
          </rPr>
          <t>Helen Armstrong:</t>
        </r>
        <r>
          <rPr>
            <sz val="8"/>
            <rFont val="Tahoma"/>
            <family val="0"/>
          </rPr>
          <t xml:space="preserve">
Numbers from this column can be inserted into the population dynamics model by copying and pasting values only (use the paste special command on the edit menu and choose to paste 'values' rather than 'formulae').</t>
        </r>
      </text>
    </comment>
    <comment ref="T3" authorId="0">
      <text>
        <r>
          <rPr>
            <b/>
            <sz val="8"/>
            <rFont val="Tahoma"/>
            <family val="0"/>
          </rPr>
          <t>Helen Armstrong:</t>
        </r>
        <r>
          <rPr>
            <sz val="8"/>
            <rFont val="Tahoma"/>
            <family val="0"/>
          </rPr>
          <t xml:space="preserve">
Numbers from this column can be inserted into the population dynamics model by copying and pasting values (use the paste special command on the edit menu and choose to paste 'values' rather than 'formulae').</t>
        </r>
      </text>
    </comment>
    <comment ref="P13" authorId="0">
      <text>
        <r>
          <rPr>
            <b/>
            <sz val="8"/>
            <rFont val="Tahoma"/>
            <family val="0"/>
          </rPr>
          <t>Helen Armstrong:</t>
        </r>
        <r>
          <rPr>
            <sz val="8"/>
            <rFont val="Tahoma"/>
            <family val="0"/>
          </rPr>
          <t xml:space="preserve">
This is for stags age 9+</t>
        </r>
      </text>
    </comment>
    <comment ref="O13" authorId="0">
      <text>
        <r>
          <rPr>
            <b/>
            <sz val="8"/>
            <rFont val="Tahoma"/>
            <family val="0"/>
          </rPr>
          <t>Helen Armstrong:</t>
        </r>
        <r>
          <rPr>
            <sz val="8"/>
            <rFont val="Tahoma"/>
            <family val="0"/>
          </rPr>
          <t xml:space="preserve">
This is for stags age 9.</t>
        </r>
      </text>
    </comment>
    <comment ref="R13" authorId="0">
      <text>
        <r>
          <rPr>
            <b/>
            <sz val="8"/>
            <rFont val="Tahoma"/>
            <family val="0"/>
          </rPr>
          <t>Helen Armstrong:</t>
        </r>
        <r>
          <rPr>
            <sz val="8"/>
            <rFont val="Tahoma"/>
            <family val="0"/>
          </rPr>
          <t xml:space="preserve">
This is for hinds age 9.</t>
        </r>
      </text>
    </comment>
    <comment ref="T13" authorId="0">
      <text>
        <r>
          <rPr>
            <b/>
            <sz val="8"/>
            <rFont val="Tahoma"/>
            <family val="0"/>
          </rPr>
          <t>Helen Armstrong:</t>
        </r>
        <r>
          <rPr>
            <sz val="8"/>
            <rFont val="Tahoma"/>
            <family val="0"/>
          </rPr>
          <t xml:space="preserve">
This is for hinds age 9+</t>
        </r>
      </text>
    </comment>
    <comment ref="U3" authorId="0">
      <text>
        <r>
          <rPr>
            <b/>
            <sz val="8"/>
            <rFont val="Tahoma"/>
            <family val="0"/>
          </rPr>
          <t>Helen Armstrong:</t>
        </r>
        <r>
          <rPr>
            <sz val="8"/>
            <rFont val="Tahoma"/>
            <family val="0"/>
          </rPr>
          <t xml:space="preserve">
Cut and paste values from this column into the calf:hind ratio worksheet. Remember to right click on the cell into which you are pasting the values, select 'Paste Special' then select 'values'.</t>
        </r>
      </text>
    </comment>
    <comment ref="C3" authorId="0">
      <text>
        <r>
          <rPr>
            <sz val="8"/>
            <rFont val="Tahoma"/>
            <family val="0"/>
          </rPr>
          <t>This should be derived from an estimate of deer numbers at the end of March i.e. not including calves born in the initial year of the model run. The model will predict the number of these.</t>
        </r>
      </text>
    </comment>
    <comment ref="G3" authorId="0">
      <text>
        <r>
          <rPr>
            <sz val="8"/>
            <rFont val="Tahoma"/>
            <family val="0"/>
          </rPr>
          <t>This should be derived from an estimate of deer numbers at the end of March i.e. not including calves born in the initial year of the model run. The model will predict the number of these.</t>
        </r>
      </text>
    </comment>
    <comment ref="P4" authorId="0">
      <text>
        <r>
          <rPr>
            <b/>
            <sz val="8"/>
            <rFont val="Tahoma"/>
            <family val="0"/>
          </rPr>
          <t>Helen Armstrong:</t>
        </r>
        <r>
          <rPr>
            <sz val="8"/>
            <rFont val="Tahoma"/>
            <family val="0"/>
          </rPr>
          <t xml:space="preserve">
The model will predict the number of calves born in the initial year.</t>
        </r>
      </text>
    </comment>
    <comment ref="T4" authorId="0">
      <text>
        <r>
          <rPr>
            <b/>
            <sz val="8"/>
            <rFont val="Tahoma"/>
            <family val="0"/>
          </rPr>
          <t>Helen Armstrong:</t>
        </r>
        <r>
          <rPr>
            <sz val="8"/>
            <rFont val="Tahoma"/>
            <family val="0"/>
          </rPr>
          <t xml:space="preserve">
The model will predict the number of calves born in the initial year. </t>
        </r>
      </text>
    </comment>
    <comment ref="Q3" authorId="0">
      <text>
        <r>
          <rPr>
            <b/>
            <sz val="8"/>
            <rFont val="Tahoma"/>
            <family val="0"/>
          </rPr>
          <t>Helen Armstrong:</t>
        </r>
        <r>
          <rPr>
            <sz val="8"/>
            <rFont val="Tahoma"/>
            <family val="0"/>
          </rPr>
          <t xml:space="preserve">
Cut and paste values from this column into the calf:hind ratio worksheet. Remember to right click on the cell into which you are pasting the values, select 'Paste Special' then select 'values'.</t>
        </r>
      </text>
    </comment>
    <comment ref="C30" authorId="0">
      <text>
        <r>
          <rPr>
            <sz val="8"/>
            <rFont val="Tahoma"/>
            <family val="0"/>
          </rPr>
          <t>This should be derived from an estimate of deer numbers at the end of March i.e. not including calves born in the initial year of the model run. The model will predict the number of these.</t>
        </r>
      </text>
    </comment>
    <comment ref="G30" authorId="0">
      <text>
        <r>
          <rPr>
            <sz val="8"/>
            <rFont val="Tahoma"/>
            <family val="0"/>
          </rPr>
          <t>This should be derived from an estimate of deer numbers at the end of March i.e. not including calves born in the initial year of the model run. The model will predict the number of these.</t>
        </r>
      </text>
    </comment>
    <comment ref="P30" authorId="0">
      <text>
        <r>
          <rPr>
            <b/>
            <sz val="8"/>
            <rFont val="Tahoma"/>
            <family val="0"/>
          </rPr>
          <t>Helen Armstrong:</t>
        </r>
        <r>
          <rPr>
            <sz val="8"/>
            <rFont val="Tahoma"/>
            <family val="0"/>
          </rPr>
          <t xml:space="preserve">
Numbers from this column can be inserted into the population dynamics model by copying and pasting values only (use the paste special command on the edit menu and choose to paste 'values' rather than 'formulae').</t>
        </r>
      </text>
    </comment>
    <comment ref="Q30" authorId="0">
      <text>
        <r>
          <rPr>
            <b/>
            <sz val="8"/>
            <rFont val="Tahoma"/>
            <family val="0"/>
          </rPr>
          <t>Helen Armstrong:</t>
        </r>
        <r>
          <rPr>
            <sz val="8"/>
            <rFont val="Tahoma"/>
            <family val="0"/>
          </rPr>
          <t xml:space="preserve">
Cut and paste values from this column into the calf:hind ratio worksheet. Remember to right click on the cell into which you are pasting the values, select 'Paste Special' then select 'values'.</t>
        </r>
      </text>
    </comment>
    <comment ref="T30" authorId="0">
      <text>
        <r>
          <rPr>
            <b/>
            <sz val="8"/>
            <rFont val="Tahoma"/>
            <family val="0"/>
          </rPr>
          <t>Helen Armstrong:</t>
        </r>
        <r>
          <rPr>
            <sz val="8"/>
            <rFont val="Tahoma"/>
            <family val="0"/>
          </rPr>
          <t xml:space="preserve">
Numbers from this column can be inserted into the population dynamics model by copying and pasting values (use the paste special command on the edit menu and choose to paste 'values' rather than 'formulae').</t>
        </r>
      </text>
    </comment>
    <comment ref="U30" authorId="0">
      <text>
        <r>
          <rPr>
            <b/>
            <sz val="8"/>
            <rFont val="Tahoma"/>
            <family val="0"/>
          </rPr>
          <t>Helen Armstrong:</t>
        </r>
        <r>
          <rPr>
            <sz val="8"/>
            <rFont val="Tahoma"/>
            <family val="0"/>
          </rPr>
          <t xml:space="preserve">
Cut and paste values from this column into the calf:hind ratio worksheet. Remember to right click on the cell into which you are pasting the values, select 'Paste Special' then select 'values'.</t>
        </r>
      </text>
    </comment>
    <comment ref="P31" authorId="0">
      <text>
        <r>
          <rPr>
            <b/>
            <sz val="8"/>
            <rFont val="Tahoma"/>
            <family val="0"/>
          </rPr>
          <t>Helen Armstrong:</t>
        </r>
        <r>
          <rPr>
            <sz val="8"/>
            <rFont val="Tahoma"/>
            <family val="0"/>
          </rPr>
          <t xml:space="preserve">
The model will predict the number of calves born in the initial year.</t>
        </r>
      </text>
    </comment>
    <comment ref="T31" authorId="0">
      <text>
        <r>
          <rPr>
            <b/>
            <sz val="8"/>
            <rFont val="Tahoma"/>
            <family val="0"/>
          </rPr>
          <t>Helen Armstrong:</t>
        </r>
        <r>
          <rPr>
            <sz val="8"/>
            <rFont val="Tahoma"/>
            <family val="0"/>
          </rPr>
          <t xml:space="preserve">
The model will predict the number of calves born in the initial year. </t>
        </r>
      </text>
    </comment>
    <comment ref="O40" authorId="0">
      <text>
        <r>
          <rPr>
            <b/>
            <sz val="8"/>
            <rFont val="Tahoma"/>
            <family val="0"/>
          </rPr>
          <t>Helen Armstrong:</t>
        </r>
        <r>
          <rPr>
            <sz val="8"/>
            <rFont val="Tahoma"/>
            <family val="0"/>
          </rPr>
          <t xml:space="preserve">
This is for stags age 9.</t>
        </r>
      </text>
    </comment>
    <comment ref="P40" authorId="0">
      <text>
        <r>
          <rPr>
            <b/>
            <sz val="8"/>
            <rFont val="Tahoma"/>
            <family val="0"/>
          </rPr>
          <t>Helen Armstrong:</t>
        </r>
        <r>
          <rPr>
            <sz val="8"/>
            <rFont val="Tahoma"/>
            <family val="0"/>
          </rPr>
          <t xml:space="preserve">
This is for stags age 9+</t>
        </r>
      </text>
    </comment>
    <comment ref="R40" authorId="0">
      <text>
        <r>
          <rPr>
            <b/>
            <sz val="8"/>
            <rFont val="Tahoma"/>
            <family val="0"/>
          </rPr>
          <t>Helen Armstrong:</t>
        </r>
        <r>
          <rPr>
            <sz val="8"/>
            <rFont val="Tahoma"/>
            <family val="0"/>
          </rPr>
          <t xml:space="preserve">
This is for hinds age 9.</t>
        </r>
      </text>
    </comment>
    <comment ref="T40" authorId="0">
      <text>
        <r>
          <rPr>
            <b/>
            <sz val="8"/>
            <rFont val="Tahoma"/>
            <family val="0"/>
          </rPr>
          <t>Helen Armstrong:</t>
        </r>
        <r>
          <rPr>
            <sz val="8"/>
            <rFont val="Tahoma"/>
            <family val="0"/>
          </rPr>
          <t xml:space="preserve">
This is for hinds age 9+</t>
        </r>
      </text>
    </comment>
  </commentList>
</comments>
</file>

<file path=xl/sharedStrings.xml><?xml version="1.0" encoding="utf-8"?>
<sst xmlns="http://schemas.openxmlformats.org/spreadsheetml/2006/main" count="238" uniqueCount="78">
  <si>
    <t>Parameters</t>
  </si>
  <si>
    <t>Mortality rate %</t>
  </si>
  <si>
    <t>Fertility Rate %</t>
  </si>
  <si>
    <t>Model</t>
  </si>
  <si>
    <t>Aug Yr 1</t>
  </si>
  <si>
    <t>Cull</t>
  </si>
  <si>
    <t>Remainder</t>
  </si>
  <si>
    <t>Mortality</t>
  </si>
  <si>
    <t>Aug Yr 2</t>
  </si>
  <si>
    <t>TOTAL</t>
  </si>
  <si>
    <t>Aug Yr 3</t>
  </si>
  <si>
    <t>Females</t>
  </si>
  <si>
    <t>Y Females</t>
  </si>
  <si>
    <t>F Young</t>
  </si>
  <si>
    <t>Males</t>
  </si>
  <si>
    <t>Y Males</t>
  </si>
  <si>
    <t>M young</t>
  </si>
  <si>
    <t>Female fertilty</t>
  </si>
  <si>
    <t>Y Female fertility</t>
  </si>
  <si>
    <t>F Young Fertility</t>
  </si>
  <si>
    <t>Female Mortality</t>
  </si>
  <si>
    <t>Y Female Mortality</t>
  </si>
  <si>
    <t>F Young Mortality</t>
  </si>
  <si>
    <t>Male Mortality</t>
  </si>
  <si>
    <t>Y Male Mortality</t>
  </si>
  <si>
    <t>M Young Mortality</t>
  </si>
  <si>
    <t>Red deer</t>
  </si>
  <si>
    <t>Fallow Deer</t>
  </si>
  <si>
    <t>Sika</t>
  </si>
  <si>
    <t>Roe deer</t>
  </si>
  <si>
    <t>Chinese Water deer</t>
  </si>
  <si>
    <t>Muntjac</t>
  </si>
  <si>
    <t>Aug Yr 4</t>
  </si>
  <si>
    <t>Aug Yr 5</t>
  </si>
  <si>
    <t>Aug Yr 6</t>
  </si>
  <si>
    <t>Estimated number of females (adults plus yearlings)</t>
  </si>
  <si>
    <t>Starting population calculator</t>
  </si>
  <si>
    <t>Type your values into the yellow cells, copy them from the suggested values on the right, or move the sliders to adjust</t>
  </si>
  <si>
    <t>How many females to each adult male</t>
  </si>
  <si>
    <t>Suggested parameter values if none available.  Use Paste Special, values, to insert in model.</t>
  </si>
  <si>
    <t>Total number:</t>
  </si>
  <si>
    <t>Age class</t>
  </si>
  <si>
    <t>Number</t>
  </si>
  <si>
    <t>Proportion culled:</t>
  </si>
  <si>
    <t>Probability of unculled animals surviving until the following spring</t>
  </si>
  <si>
    <t>9+</t>
  </si>
  <si>
    <t>9 or 9+</t>
  </si>
  <si>
    <t>Total</t>
  </si>
  <si>
    <t>Input data in blue and yellow cells</t>
  </si>
  <si>
    <t>Assumptions:</t>
  </si>
  <si>
    <t>1. Recruitment rates have remained the same over the previous 9+ years</t>
  </si>
  <si>
    <t>2. Culling rates and over-winter mortality rates have remained the same over the previous 9+ years</t>
  </si>
  <si>
    <t>3. Culling is random between age classes i.e. the same proportion is culled from each age class.</t>
  </si>
  <si>
    <t xml:space="preserve">This method gives an estimate of the age structure of the population but it is only an estimate </t>
  </si>
  <si>
    <t xml:space="preserve">and rests on the assumptions listed above. Age structures obtained from culls may be more </t>
  </si>
  <si>
    <t>accurate if any of the assumptions is known to have been broken. Alternatively, manual</t>
  </si>
  <si>
    <t>adjustments could be made to the results given here if it is know that a particular age class</t>
  </si>
  <si>
    <t>Young</t>
  </si>
  <si>
    <r>
      <t>%</t>
    </r>
    <r>
      <rPr>
        <sz val="10"/>
        <rFont val="Times New Roman"/>
        <family val="0"/>
      </rPr>
      <t>♀</t>
    </r>
    <r>
      <rPr>
        <sz val="10"/>
        <rFont val="Arial"/>
        <family val="0"/>
      </rPr>
      <t>young/does</t>
    </r>
  </si>
  <si>
    <t>%all young/does</t>
  </si>
  <si>
    <t>proportion of adult pop</t>
  </si>
  <si>
    <t>Proportion of total number of Females 2+ years old.</t>
  </si>
  <si>
    <t>Proportion of total number of Males 2+ years old.</t>
  </si>
  <si>
    <t>Proportion surviving from prev year</t>
  </si>
  <si>
    <t>5. Survival rates decline markedly at year 9 for all species</t>
  </si>
  <si>
    <t>6. Survival rates are similar for adults between 2-8 years</t>
  </si>
  <si>
    <t>4. Culling has been carried out at 20% of total population</t>
  </si>
  <si>
    <t>Type these figures into first column of the model under Aug YR 1.</t>
  </si>
  <si>
    <t>cull%total</t>
  </si>
  <si>
    <r>
      <t>♀</t>
    </r>
    <r>
      <rPr>
        <sz val="10"/>
        <color indexed="9"/>
        <rFont val="Arial"/>
        <family val="0"/>
      </rPr>
      <t>cull%♀♀</t>
    </r>
  </si>
  <si>
    <t>Adult Females &gt;2 years</t>
  </si>
  <si>
    <t>Female Young &lt;1 year</t>
  </si>
  <si>
    <t>Yearling Females 1-2 yr</t>
  </si>
  <si>
    <t>Adult Males &gt;2 years</t>
  </si>
  <si>
    <t>Yearling Males 1-2 yr</t>
  </si>
  <si>
    <t>Male Young &lt;1 year</t>
  </si>
  <si>
    <t>Survival table for starting pop calculator</t>
  </si>
  <si>
    <t>Survival table for model</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</si>
</sst>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0000"/>
    <numFmt numFmtId="175" formatCode="0.000000000000000"/>
    <numFmt numFmtId="176" formatCode="mm"/>
    <numFmt numFmtId="177" formatCode="[$-809]dd\ mmmm\ yyyy"/>
    <numFmt numFmtId="178" formatCode="##.\2&quot;tEST&quot;"/>
    <numFmt numFmtId="179" formatCode="[=10.2]&quot;tEST&quot;;General"/>
    <numFmt numFmtId="180" formatCode="[=10]&quot;March&quot;;[=10.2]&quot;July&quot;;General"/>
    <numFmt numFmtId="181" formatCode="[=0]&quot;March&quot;;[=0]&quot;July&quot;;General"/>
  </numFmts>
  <fonts count="18">
    <font>
      <sz val="10"/>
      <name val="Arial"/>
      <family val="0"/>
    </font>
    <font>
      <b/>
      <sz val="10"/>
      <name val="Arial"/>
      <family val="0"/>
    </font>
    <font>
      <i/>
      <sz val="10"/>
      <name val="Arial"/>
      <family val="0"/>
    </font>
    <font>
      <b/>
      <i/>
      <sz val="10"/>
      <name val="Arial"/>
      <family val="0"/>
    </font>
    <font>
      <b/>
      <sz val="12"/>
      <name val="Arial"/>
      <family val="2"/>
    </font>
    <font>
      <sz val="8"/>
      <name val="Arial"/>
      <family val="2"/>
    </font>
    <font>
      <u val="single"/>
      <sz val="10"/>
      <color indexed="12"/>
      <name val="Arial"/>
      <family val="0"/>
    </font>
    <font>
      <u val="single"/>
      <sz val="10"/>
      <color indexed="36"/>
      <name val="Arial"/>
      <family val="0"/>
    </font>
    <font>
      <sz val="8"/>
      <name val="Tahoma"/>
      <family val="0"/>
    </font>
    <font>
      <b/>
      <sz val="8"/>
      <name val="Tahoma"/>
      <family val="0"/>
    </font>
    <font>
      <sz val="12"/>
      <name val="Arial"/>
      <family val="2"/>
    </font>
    <font>
      <sz val="20"/>
      <name val="Arial"/>
      <family val="2"/>
    </font>
    <font>
      <sz val="10"/>
      <color indexed="12"/>
      <name val="Arial"/>
      <family val="2"/>
    </font>
    <font>
      <b/>
      <sz val="10"/>
      <color indexed="12"/>
      <name val="Arial"/>
      <family val="2"/>
    </font>
    <font>
      <sz val="10"/>
      <name val="Times New Roman"/>
      <family val="0"/>
    </font>
    <font>
      <sz val="10"/>
      <color indexed="9"/>
      <name val="Arial"/>
      <family val="0"/>
    </font>
    <font>
      <sz val="10"/>
      <color indexed="9"/>
      <name val="Times New Roman"/>
      <family val="0"/>
    </font>
    <font>
      <b/>
      <sz val="8"/>
      <name val="Arial"/>
      <family val="0"/>
    </font>
  </fonts>
  <fills count="3">
    <fill>
      <patternFill/>
    </fill>
    <fill>
      <patternFill patternType="gray125"/>
    </fill>
    <fill>
      <patternFill patternType="solid">
        <fgColor indexed="43"/>
        <bgColor indexed="64"/>
      </patternFill>
    </fill>
  </fills>
  <borders count="27">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style="double"/>
      <bottom style="thin"/>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right>
        <color indexed="63"/>
      </right>
      <top style="thin"/>
      <bottom style="thin"/>
    </border>
    <border>
      <left style="thin"/>
      <right>
        <color indexed="63"/>
      </right>
      <top style="double"/>
      <bottom style="thin"/>
    </border>
    <border>
      <left style="thin"/>
      <right style="double"/>
      <top style="double"/>
      <bottom style="thin"/>
    </border>
    <border>
      <left style="thin"/>
      <right style="double"/>
      <top style="thin"/>
      <bottom style="thin"/>
    </border>
    <border>
      <left style="thin"/>
      <right style="double"/>
      <top style="thin"/>
      <bottom>
        <color indexed="63"/>
      </bottom>
    </border>
    <border>
      <left style="thin"/>
      <right style="thin"/>
      <top style="double"/>
      <bottom style="double"/>
    </border>
    <border>
      <left style="thin"/>
      <right style="double"/>
      <top style="double"/>
      <bottom style="double"/>
    </border>
    <border>
      <left style="double"/>
      <right>
        <color indexed="63"/>
      </right>
      <top style="double"/>
      <bottom style="thin"/>
    </border>
    <border>
      <left style="double"/>
      <right>
        <color indexed="63"/>
      </right>
      <top style="thin"/>
      <bottom style="thin"/>
    </border>
    <border>
      <left style="double"/>
      <right>
        <color indexed="63"/>
      </right>
      <top style="thin"/>
      <bottom>
        <color indexed="63"/>
      </bottom>
    </border>
    <border>
      <left style="double"/>
      <right>
        <color indexed="63"/>
      </right>
      <top style="double"/>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0" fontId="0" fillId="0" borderId="0" xfId="0" applyBorder="1" applyAlignment="1">
      <alignment/>
    </xf>
    <xf numFmtId="0" fontId="4" fillId="0" borderId="0" xfId="0" applyFont="1" applyBorder="1" applyAlignment="1">
      <alignment/>
    </xf>
    <xf numFmtId="0" fontId="0" fillId="0" borderId="0" xfId="0" applyBorder="1" applyAlignment="1">
      <alignment wrapText="1"/>
    </xf>
    <xf numFmtId="0" fontId="0" fillId="0" borderId="0" xfId="0" applyBorder="1" applyAlignment="1">
      <alignment horizontal="center"/>
    </xf>
    <xf numFmtId="0" fontId="0" fillId="0" borderId="1" xfId="0" applyBorder="1" applyAlignment="1">
      <alignment/>
    </xf>
    <xf numFmtId="0" fontId="0" fillId="0" borderId="0" xfId="0" applyBorder="1" applyAlignment="1">
      <alignment vertical="top" wrapText="1"/>
    </xf>
    <xf numFmtId="0" fontId="0" fillId="0" borderId="2" xfId="0" applyBorder="1" applyAlignment="1">
      <alignment/>
    </xf>
    <xf numFmtId="0" fontId="0" fillId="0" borderId="0" xfId="0" applyAlignment="1">
      <alignment wrapText="1"/>
    </xf>
    <xf numFmtId="0" fontId="4" fillId="0" borderId="3" xfId="0" applyFont="1"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4" xfId="0" applyBorder="1" applyAlignment="1">
      <alignment wrapText="1"/>
    </xf>
    <xf numFmtId="0" fontId="0" fillId="0" borderId="8" xfId="0" applyBorder="1" applyAlignment="1">
      <alignment/>
    </xf>
    <xf numFmtId="0" fontId="0" fillId="0" borderId="9" xfId="0" applyBorder="1" applyAlignment="1">
      <alignment/>
    </xf>
    <xf numFmtId="0" fontId="0" fillId="0" borderId="9" xfId="0" applyBorder="1" applyAlignment="1">
      <alignment horizontal="center"/>
    </xf>
    <xf numFmtId="0" fontId="0" fillId="0" borderId="9" xfId="0" applyFont="1" applyBorder="1" applyAlignment="1">
      <alignment horizontal="center"/>
    </xf>
    <xf numFmtId="0" fontId="0" fillId="0" borderId="10" xfId="0" applyFont="1" applyBorder="1" applyAlignment="1">
      <alignment horizontal="center"/>
    </xf>
    <xf numFmtId="0" fontId="0" fillId="0" borderId="10" xfId="0" applyBorder="1" applyAlignment="1">
      <alignment/>
    </xf>
    <xf numFmtId="0" fontId="0" fillId="0" borderId="11" xfId="0" applyFont="1" applyBorder="1" applyAlignment="1">
      <alignment horizontal="center"/>
    </xf>
    <xf numFmtId="0" fontId="0" fillId="0" borderId="11" xfId="0" applyBorder="1" applyAlignment="1">
      <alignment/>
    </xf>
    <xf numFmtId="0" fontId="0" fillId="0" borderId="4" xfId="0" applyBorder="1" applyAlignment="1">
      <alignment vertical="center"/>
    </xf>
    <xf numFmtId="0" fontId="0" fillId="0" borderId="4" xfId="0" applyFont="1" applyFill="1" applyBorder="1" applyAlignment="1">
      <alignment horizontal="center"/>
    </xf>
    <xf numFmtId="0" fontId="0" fillId="2" borderId="0"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9" xfId="0" applyFont="1" applyFill="1" applyBorder="1" applyAlignment="1" applyProtection="1">
      <alignment horizontal="center"/>
      <protection locked="0"/>
    </xf>
    <xf numFmtId="0" fontId="0" fillId="2" borderId="10" xfId="0" applyFont="1" applyFill="1" applyBorder="1" applyAlignment="1" applyProtection="1">
      <alignment horizontal="center"/>
      <protection locked="0"/>
    </xf>
    <xf numFmtId="0" fontId="0" fillId="0" borderId="9" xfId="0" applyFont="1" applyBorder="1" applyAlignment="1" applyProtection="1">
      <alignment horizontal="center"/>
      <protection locked="0"/>
    </xf>
    <xf numFmtId="0" fontId="0" fillId="0" borderId="9" xfId="0" applyFont="1" applyFill="1" applyBorder="1" applyAlignment="1">
      <alignment horizontal="center"/>
    </xf>
    <xf numFmtId="0" fontId="0" fillId="0" borderId="4" xfId="0" applyFill="1" applyBorder="1" applyAlignment="1">
      <alignment/>
    </xf>
    <xf numFmtId="0" fontId="0" fillId="0" borderId="4" xfId="0" applyFont="1" applyBorder="1" applyAlignment="1">
      <alignment horizontal="center"/>
    </xf>
    <xf numFmtId="0" fontId="10" fillId="0" borderId="0" xfId="0" applyFont="1" applyAlignment="1">
      <alignment vertical="top"/>
    </xf>
    <xf numFmtId="0" fontId="0" fillId="0" borderId="0" xfId="0" applyAlignment="1" applyProtection="1">
      <alignment/>
      <protection locked="0"/>
    </xf>
    <xf numFmtId="164" fontId="0" fillId="0" borderId="0" xfId="0" applyNumberFormat="1" applyBorder="1" applyAlignment="1" applyProtection="1">
      <alignment horizontal="center"/>
      <protection locked="0"/>
    </xf>
    <xf numFmtId="0" fontId="12" fillId="2" borderId="12" xfId="0" applyFont="1" applyFill="1" applyBorder="1" applyAlignment="1" applyProtection="1">
      <alignment/>
      <protection locked="0"/>
    </xf>
    <xf numFmtId="0" fontId="1" fillId="0" borderId="0" xfId="0" applyFont="1" applyAlignment="1">
      <alignment/>
    </xf>
    <xf numFmtId="0" fontId="1" fillId="0" borderId="0" xfId="0" applyFont="1" applyAlignment="1">
      <alignment wrapText="1"/>
    </xf>
    <xf numFmtId="0" fontId="0" fillId="0" borderId="0" xfId="0" applyFont="1" applyAlignment="1">
      <alignment horizontal="center"/>
    </xf>
    <xf numFmtId="165" fontId="0" fillId="0" borderId="0" xfId="0" applyNumberFormat="1" applyAlignment="1">
      <alignment/>
    </xf>
    <xf numFmtId="0" fontId="0" fillId="0" borderId="0" xfId="0" applyFont="1" applyAlignment="1">
      <alignment/>
    </xf>
    <xf numFmtId="164" fontId="0" fillId="0" borderId="0" xfId="0" applyNumberFormat="1" applyAlignment="1">
      <alignment/>
    </xf>
    <xf numFmtId="2" fontId="0" fillId="0" borderId="0" xfId="0" applyNumberFormat="1" applyAlignment="1">
      <alignment horizontal="center"/>
    </xf>
    <xf numFmtId="0" fontId="0" fillId="0" borderId="0" xfId="0" applyAlignment="1">
      <alignment horizontal="center"/>
    </xf>
    <xf numFmtId="0" fontId="0" fillId="0" borderId="0" xfId="0" applyAlignment="1">
      <alignment horizontal="right"/>
    </xf>
    <xf numFmtId="0" fontId="0" fillId="0" borderId="0" xfId="0" applyFill="1" applyAlignment="1">
      <alignment/>
    </xf>
    <xf numFmtId="0" fontId="0" fillId="0" borderId="1" xfId="0" applyFont="1" applyBorder="1" applyAlignment="1">
      <alignment/>
    </xf>
    <xf numFmtId="165" fontId="0" fillId="0" borderId="1" xfId="0" applyNumberFormat="1" applyBorder="1" applyAlignment="1">
      <alignment/>
    </xf>
    <xf numFmtId="1" fontId="0" fillId="0" borderId="0" xfId="0" applyNumberFormat="1" applyAlignment="1">
      <alignment/>
    </xf>
    <xf numFmtId="0" fontId="13" fillId="2" borderId="13" xfId="0" applyFont="1" applyFill="1" applyBorder="1" applyAlignment="1">
      <alignment/>
    </xf>
    <xf numFmtId="0" fontId="0" fillId="2" borderId="14" xfId="0" applyFill="1" applyBorder="1" applyAlignment="1">
      <alignment/>
    </xf>
    <xf numFmtId="0" fontId="0" fillId="2" borderId="15" xfId="0" applyFill="1" applyBorder="1" applyAlignment="1">
      <alignment/>
    </xf>
    <xf numFmtId="174" fontId="0" fillId="0" borderId="0" xfId="0" applyNumberFormat="1" applyAlignment="1">
      <alignment/>
    </xf>
    <xf numFmtId="2" fontId="0" fillId="0" borderId="0" xfId="0" applyNumberFormat="1" applyAlignment="1">
      <alignment/>
    </xf>
    <xf numFmtId="0" fontId="0" fillId="0" borderId="0" xfId="0" applyFont="1" applyBorder="1" applyAlignment="1">
      <alignment horizontal="left"/>
    </xf>
    <xf numFmtId="0" fontId="0" fillId="0" borderId="4" xfId="0" applyFont="1" applyBorder="1" applyAlignment="1">
      <alignment horizontal="right"/>
    </xf>
    <xf numFmtId="14" fontId="0" fillId="0" borderId="0" xfId="0" applyNumberFormat="1" applyAlignment="1">
      <alignment/>
    </xf>
    <xf numFmtId="0" fontId="0" fillId="0" borderId="16" xfId="0" applyBorder="1" applyAlignment="1">
      <alignment/>
    </xf>
    <xf numFmtId="0" fontId="0" fillId="0" borderId="16" xfId="0" applyFont="1" applyBorder="1" applyAlignment="1">
      <alignment horizontal="center"/>
    </xf>
    <xf numFmtId="0" fontId="0" fillId="0" borderId="3" xfId="0" applyFont="1" applyBorder="1" applyAlignment="1">
      <alignment horizontal="center"/>
    </xf>
    <xf numFmtId="0" fontId="0" fillId="0" borderId="17" xfId="0" applyFont="1" applyBorder="1" applyAlignment="1">
      <alignment horizontal="center"/>
    </xf>
    <xf numFmtId="0" fontId="0" fillId="0" borderId="11" xfId="0" applyFill="1" applyBorder="1" applyAlignment="1">
      <alignment/>
    </xf>
    <xf numFmtId="0" fontId="0" fillId="0" borderId="18" xfId="0" applyBorder="1" applyAlignment="1">
      <alignment/>
    </xf>
    <xf numFmtId="0" fontId="0" fillId="0" borderId="19" xfId="0" applyFont="1" applyBorder="1" applyAlignment="1">
      <alignment horizontal="center"/>
    </xf>
    <xf numFmtId="0" fontId="0" fillId="0" borderId="20" xfId="0" applyFont="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1" fontId="0" fillId="2" borderId="0" xfId="0" applyNumberFormat="1" applyFill="1" applyBorder="1" applyAlignment="1" applyProtection="1">
      <alignment horizontal="center"/>
      <protection locked="0"/>
    </xf>
    <xf numFmtId="0" fontId="15" fillId="0" borderId="4" xfId="0" applyFont="1" applyFill="1" applyBorder="1" applyAlignment="1">
      <alignment/>
    </xf>
    <xf numFmtId="0" fontId="15" fillId="0" borderId="4" xfId="0" applyFont="1" applyBorder="1" applyAlignment="1">
      <alignment horizontal="center"/>
    </xf>
    <xf numFmtId="0" fontId="15" fillId="0" borderId="0" xfId="0" applyFont="1" applyFill="1" applyBorder="1" applyAlignment="1">
      <alignment/>
    </xf>
    <xf numFmtId="0" fontId="15" fillId="0" borderId="0" xfId="0" applyFont="1" applyBorder="1" applyAlignment="1">
      <alignment horizontal="center"/>
    </xf>
    <xf numFmtId="0" fontId="16" fillId="0" borderId="0" xfId="0" applyFont="1" applyFill="1" applyBorder="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Border="1" applyAlignment="1">
      <alignment/>
    </xf>
    <xf numFmtId="0" fontId="0" fillId="0" borderId="0" xfId="0" applyFont="1" applyAlignment="1">
      <alignment/>
    </xf>
    <xf numFmtId="0" fontId="0" fillId="0" borderId="9" xfId="0" applyFont="1" applyBorder="1" applyAlignment="1">
      <alignment/>
    </xf>
    <xf numFmtId="0" fontId="0" fillId="0" borderId="9" xfId="0" applyFont="1" applyBorder="1" applyAlignment="1">
      <alignment horizontal="center"/>
    </xf>
    <xf numFmtId="0" fontId="0" fillId="0" borderId="23" xfId="0" applyBorder="1" applyAlignment="1">
      <alignment/>
    </xf>
    <xf numFmtId="0" fontId="0" fillId="0" borderId="24" xfId="0" applyFont="1" applyBorder="1" applyAlignment="1">
      <alignment horizontal="center"/>
    </xf>
    <xf numFmtId="0" fontId="0" fillId="0" borderId="25" xfId="0" applyFont="1" applyBorder="1" applyAlignment="1">
      <alignment horizontal="center"/>
    </xf>
    <xf numFmtId="0" fontId="0" fillId="0" borderId="26" xfId="0" applyFont="1" applyBorder="1" applyAlignment="1">
      <alignment horizontal="center"/>
    </xf>
    <xf numFmtId="0" fontId="0" fillId="0" borderId="0" xfId="0" applyAlignment="1" applyProtection="1">
      <alignment/>
      <protection/>
    </xf>
    <xf numFmtId="0" fontId="0" fillId="0" borderId="0" xfId="0" applyBorder="1" applyAlignment="1">
      <alignment wrapText="1"/>
    </xf>
    <xf numFmtId="0" fontId="0" fillId="0" borderId="6" xfId="0" applyBorder="1" applyAlignment="1">
      <alignment wrapText="1"/>
    </xf>
    <xf numFmtId="0" fontId="0" fillId="0" borderId="4" xfId="0" applyBorder="1" applyAlignment="1">
      <alignment vertical="top" wrapText="1"/>
    </xf>
    <xf numFmtId="0" fontId="0" fillId="0" borderId="4" xfId="0" applyBorder="1" applyAlignment="1">
      <alignment wrapText="1"/>
    </xf>
    <xf numFmtId="0" fontId="0" fillId="0" borderId="5" xfId="0" applyBorder="1" applyAlignment="1">
      <alignment wrapText="1"/>
    </xf>
    <xf numFmtId="0" fontId="0" fillId="0" borderId="3" xfId="0" applyBorder="1" applyAlignment="1">
      <alignment vertical="top" wrapText="1"/>
    </xf>
    <xf numFmtId="0" fontId="0" fillId="0" borderId="5" xfId="0" applyBorder="1" applyAlignment="1">
      <alignment vertical="top"/>
    </xf>
    <xf numFmtId="0" fontId="0" fillId="0" borderId="6" xfId="0" applyBorder="1" applyAlignment="1">
      <alignment vertical="top"/>
    </xf>
    <xf numFmtId="0" fontId="0" fillId="0" borderId="2" xfId="0" applyBorder="1" applyAlignment="1">
      <alignment vertical="top"/>
    </xf>
    <xf numFmtId="0" fontId="0" fillId="0" borderId="7" xfId="0" applyBorder="1" applyAlignment="1">
      <alignment vertical="top"/>
    </xf>
    <xf numFmtId="0" fontId="0" fillId="0" borderId="8" xfId="0" applyBorder="1" applyAlignment="1">
      <alignment vertical="top"/>
    </xf>
    <xf numFmtId="0" fontId="0" fillId="0" borderId="6" xfId="0" applyBorder="1" applyAlignment="1">
      <alignmen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3"/>
          <c:y val="0.048"/>
          <c:w val="0.77"/>
          <c:h val="0.904"/>
        </c:manualLayout>
      </c:layout>
      <c:barChart>
        <c:barDir val="col"/>
        <c:grouping val="stacked"/>
        <c:varyColors val="0"/>
        <c:ser>
          <c:idx val="0"/>
          <c:order val="0"/>
          <c:tx>
            <c:strRef>
              <c:f>Model!$B$38</c:f>
              <c:strCache>
                <c:ptCount val="1"/>
                <c:pt idx="0">
                  <c:v>Females</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strRef>
              <c:f>(Model!$C$30,Model!$J$30:$N$30)</c:f>
              <c:strCache>
                <c:ptCount val="6"/>
                <c:pt idx="0">
                  <c:v>Aug Yr 1</c:v>
                </c:pt>
                <c:pt idx="1">
                  <c:v>Aug Yr 2</c:v>
                </c:pt>
                <c:pt idx="2">
                  <c:v>Aug Yr 3</c:v>
                </c:pt>
                <c:pt idx="3">
                  <c:v>Aug Yr 4</c:v>
                </c:pt>
                <c:pt idx="4">
                  <c:v>Aug Yr 5</c:v>
                </c:pt>
                <c:pt idx="5">
                  <c:v>Aug Yr 6</c:v>
                </c:pt>
              </c:strCache>
            </c:strRef>
          </c:cat>
          <c:val>
            <c:numRef>
              <c:f>(Model!$C$38,Model!$J$38:$N$38)</c:f>
              <c:numCache>
                <c:ptCount val="6"/>
                <c:pt idx="0">
                  <c:v>0</c:v>
                </c:pt>
                <c:pt idx="1">
                  <c:v>0</c:v>
                </c:pt>
                <c:pt idx="2">
                  <c:v>0</c:v>
                </c:pt>
                <c:pt idx="3">
                  <c:v>0</c:v>
                </c:pt>
                <c:pt idx="4">
                  <c:v>0</c:v>
                </c:pt>
                <c:pt idx="5">
                  <c:v>0</c:v>
                </c:pt>
              </c:numCache>
            </c:numRef>
          </c:val>
        </c:ser>
        <c:ser>
          <c:idx val="1"/>
          <c:order val="1"/>
          <c:tx>
            <c:strRef>
              <c:f>Model!$B$39</c:f>
              <c:strCache>
                <c:ptCount val="1"/>
                <c:pt idx="0">
                  <c:v>Males</c:v>
                </c:pt>
              </c:strCache>
            </c:strRef>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Ref>
              <c:f>(Model!$C$30,Model!$J$30:$N$30)</c:f>
              <c:strCache>
                <c:ptCount val="6"/>
                <c:pt idx="0">
                  <c:v>Aug Yr 1</c:v>
                </c:pt>
                <c:pt idx="1">
                  <c:v>Aug Yr 2</c:v>
                </c:pt>
                <c:pt idx="2">
                  <c:v>Aug Yr 3</c:v>
                </c:pt>
                <c:pt idx="3">
                  <c:v>Aug Yr 4</c:v>
                </c:pt>
                <c:pt idx="4">
                  <c:v>Aug Yr 5</c:v>
                </c:pt>
                <c:pt idx="5">
                  <c:v>Aug Yr 6</c:v>
                </c:pt>
              </c:strCache>
            </c:strRef>
          </c:cat>
          <c:val>
            <c:numRef>
              <c:f>(Model!$C$39,Model!$J$39:$N$39)</c:f>
              <c:numCache>
                <c:ptCount val="6"/>
                <c:pt idx="0">
                  <c:v>0</c:v>
                </c:pt>
                <c:pt idx="1">
                  <c:v>0</c:v>
                </c:pt>
                <c:pt idx="2">
                  <c:v>0</c:v>
                </c:pt>
                <c:pt idx="3">
                  <c:v>0</c:v>
                </c:pt>
                <c:pt idx="4">
                  <c:v>0</c:v>
                </c:pt>
                <c:pt idx="5">
                  <c:v>0</c:v>
                </c:pt>
              </c:numCache>
            </c:numRef>
          </c:val>
        </c:ser>
        <c:overlap val="100"/>
        <c:axId val="28697644"/>
        <c:axId val="56952205"/>
      </c:barChart>
      <c:catAx>
        <c:axId val="28697644"/>
        <c:scaling>
          <c:orientation val="minMax"/>
        </c:scaling>
        <c:axPos val="b"/>
        <c:delete val="0"/>
        <c:numFmt formatCode="General" sourceLinked="1"/>
        <c:majorTickMark val="out"/>
        <c:minorTickMark val="none"/>
        <c:tickLblPos val="nextTo"/>
        <c:crossAx val="56952205"/>
        <c:crossesAt val="0"/>
        <c:auto val="1"/>
        <c:lblOffset val="100"/>
        <c:noMultiLvlLbl val="0"/>
      </c:catAx>
      <c:valAx>
        <c:axId val="56952205"/>
        <c:scaling>
          <c:orientation val="minMax"/>
          <c:min val="0"/>
        </c:scaling>
        <c:axPos val="l"/>
        <c:title>
          <c:tx>
            <c:rich>
              <a:bodyPr vert="horz" rot="-5400000" anchor="ctr"/>
              <a:lstStyle/>
              <a:p>
                <a:pPr algn="ctr">
                  <a:defRPr/>
                </a:pPr>
                <a:r>
                  <a:rPr lang="en-US" cap="none" sz="800" b="1" i="0" u="none" baseline="0">
                    <a:latin typeface="Arial"/>
                    <a:ea typeface="Arial"/>
                    <a:cs typeface="Arial"/>
                  </a:rPr>
                  <a:t>Population totalss  </a:t>
                </a:r>
              </a:p>
            </c:rich>
          </c:tx>
          <c:layout/>
          <c:overlay val="0"/>
          <c:spPr>
            <a:noFill/>
            <a:ln>
              <a:noFill/>
            </a:ln>
          </c:spPr>
        </c:title>
        <c:majorGridlines/>
        <c:delete val="0"/>
        <c:numFmt formatCode="General" sourceLinked="1"/>
        <c:majorTickMark val="out"/>
        <c:minorTickMark val="none"/>
        <c:tickLblPos val="nextTo"/>
        <c:crossAx val="28697644"/>
        <c:crossesAt val="1"/>
        <c:crossBetween val="between"/>
        <c:dispUnits/>
      </c:valAx>
      <c:spPr>
        <a:solidFill>
          <a:srgbClr val="C0C0C0"/>
        </a:solidFill>
        <a:ln w="12700">
          <a:solidFill>
            <a:srgbClr val="808080"/>
          </a:solidFill>
        </a:ln>
      </c:spPr>
    </c:plotArea>
    <c:legend>
      <c:legendPos val="r"/>
      <c:layout>
        <c:manualLayout>
          <c:xMode val="edge"/>
          <c:yMode val="edge"/>
          <c:x val="0.8495"/>
          <c:y val="0.0962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342900</xdr:colOff>
      <xdr:row>14</xdr:row>
      <xdr:rowOff>142875</xdr:rowOff>
    </xdr:from>
    <xdr:to>
      <xdr:col>14</xdr:col>
      <xdr:colOff>9525</xdr:colOff>
      <xdr:row>27</xdr:row>
      <xdr:rowOff>76200</xdr:rowOff>
    </xdr:to>
    <xdr:graphicFrame>
      <xdr:nvGraphicFramePr>
        <xdr:cNvPr id="1" name="Chart 25"/>
        <xdr:cNvGraphicFramePr/>
      </xdr:nvGraphicFramePr>
      <xdr:xfrm>
        <a:off x="3324225" y="2733675"/>
        <a:ext cx="4514850" cy="21907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0</xdr:row>
      <xdr:rowOff>0</xdr:rowOff>
    </xdr:from>
    <xdr:to>
      <xdr:col>14</xdr:col>
      <xdr:colOff>0</xdr:colOff>
      <xdr:row>3</xdr:row>
      <xdr:rowOff>19050</xdr:rowOff>
    </xdr:to>
    <xdr:sp>
      <xdr:nvSpPr>
        <xdr:cNvPr id="2" name="TextBox 59"/>
        <xdr:cNvSpPr txBox="1">
          <a:spLocks noChangeArrowheads="1"/>
        </xdr:cNvSpPr>
      </xdr:nvSpPr>
      <xdr:spPr>
        <a:xfrm>
          <a:off x="276225" y="0"/>
          <a:ext cx="7553325"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DEER POPULATION MODEL © 2008 The Deer Initiative.  Note that the quality of the output depends on the quality of the input. Example only, may contain errors. The Deer Initiative accepts no responsibility for any actions taken as a result of using this model.  
</a:t>
          </a:r>
          <a:r>
            <a:rPr lang="en-US" cap="none" sz="1000" b="1" i="0" u="none" baseline="0">
              <a:latin typeface="Arial"/>
              <a:ea typeface="Arial"/>
              <a:cs typeface="Arial"/>
            </a:rPr>
            <a:t>Please read the Instructions sheet (tab at bottom of model window) before using.</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9</xdr:col>
      <xdr:colOff>95250</xdr:colOff>
      <xdr:row>54</xdr:row>
      <xdr:rowOff>133350</xdr:rowOff>
    </xdr:to>
    <xdr:sp>
      <xdr:nvSpPr>
        <xdr:cNvPr id="1" name="TextBox 1"/>
        <xdr:cNvSpPr txBox="1">
          <a:spLocks noChangeArrowheads="1"/>
        </xdr:cNvSpPr>
      </xdr:nvSpPr>
      <xdr:spPr>
        <a:xfrm>
          <a:off x="0" y="47625"/>
          <a:ext cx="5581650" cy="8829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000" b="0" i="0" u="none" baseline="0">
              <a:latin typeface="Arial"/>
              <a:ea typeface="Arial"/>
              <a:cs typeface="Arial"/>
            </a:rPr>
            <a:t>Instructions for using the Deer Population Model.</a:t>
          </a:r>
          <a:r>
            <a:rPr lang="en-US" cap="none" sz="1000" b="0" i="0" u="none" baseline="0">
              <a:latin typeface="Arial"/>
              <a:ea typeface="Arial"/>
              <a:cs typeface="Arial"/>
            </a:rPr>
            <a:t>
Note:
-Please make sure that you have read and understood these instructions before attempting to use the model.
-You will find the model on the "Model" tab at the bottom left of the spreadsheet window.
-The model  can be used for all species of deer.  The data entry cells (yellow) can be modified at all times but the rest of the sheet is protected. 
-Estimates of deer numbers (like those used to provide the model starting figures) are often underestimates or may be inaccurate (see the Census General guide).
-The model is intended only to illustrate the principles of culling and population management. It is based on a number of assumptions which, to keep the model simple, cannot be changed. Results from a model can never accurately represent the real situation and should be used as a guide only.
-Interpretation of population models can be difficult, users are strongly advised to seek specialist advice before basing culls solely on a model.
To use the model:
STEP 1  Enter values for Fertility and Mortality. The category "Females" means all adult females above 2 years of age, "Y Females"  means yearling females between 1 and 2 years old and "F Young" means female fawns (less than 1 year old), similarly for the males. 
Either type values in directly or use the "sliders".  If you are unsure as to what the values might be, copy and paste the appropriate suggested values from the blocks to the right of the model.  Note that the suggested values are realistic in most lowland situations and assume good conditions and that the population is being randomly culled at approx 20% of the population.  Real values may vary considerably.  
"Fertility" in this context means the number of young produced per female, that are likely to survive to one year old.  An estimate of this can be obtained from the percentage pregnancy rate of culled females but that figure is very much a maximum and should be reduced by, say, 5-10 percentage points for use in the model ie 90% pregnancy becomes 85% or 80% "fertility" for the model.
STEP 2   Enter starting values for numbers of each sex/age class of deer in August, year 1 of the model.  
If detailed figures are not available, estimate the number of females (all females older than 1 year), and the ratio of  females (older than 1 year) to adult males (older than 1 year) and type these into the Starting Population Calculator.  Now type the resulting population figures into August year 1 of the model.
If all you have is an estimate of total numbers of deer you could assume that the male:female split is 1:1 ie equal numbers of males and females but note that, especially for the herding deer, the male:female ratios are often strongly skewed in favour of females, perhaps 1 male:2 females or more, any available census figures may give you an indication of this.  
STEP3   Enter values for the cull for each year.  If you want the culls for each year to be the same you can copy the Year 1 cull figures to the other years, otherwise type each year's cull in separately.  Note that you cannot cull more deer than are present and that even if most or all of the males are culled the model continues to assume that the females will still become pregnant. 
RESULTS  The model will automatically complete the model tables and draw the graph. The 4 right hand columns of the first model table are a summary of the four year tables below it.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CH%20Files\mine\Parkcull2005_no_macrosl(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imple no macro demo"/>
      <sheetName val="Simple teach example"/>
      <sheetName val="simple with sliders"/>
      <sheetName val="Protect example"/>
      <sheetName val="Includingbuckdoeratio"/>
      <sheetName val="Includingcarrycap"/>
      <sheetName val="costbenefit"/>
      <sheetName val="class forms"/>
      <sheetName val="MODEL"/>
      <sheetName val="Sheet7"/>
      <sheetName val="Sheet8"/>
      <sheetName val="Sheet9"/>
      <sheetName val="Sheet10"/>
      <sheetName val="Sheet11"/>
      <sheetName val="Sheet12"/>
      <sheetName val="Sheet13"/>
      <sheetName val="Sheet14"/>
      <sheetName val="Sheet15"/>
      <sheetName val="Sheet16"/>
    </sheetNames>
    <sheetDataSet>
      <sheetData sheetId="1">
        <row r="5">
          <cell r="D5">
            <v>0</v>
          </cell>
        </row>
        <row r="15">
          <cell r="C15">
            <v>40</v>
          </cell>
          <cell r="D15">
            <v>0</v>
          </cell>
          <cell r="E15">
            <v>40</v>
          </cell>
          <cell r="G15">
            <v>40</v>
          </cell>
        </row>
        <row r="16">
          <cell r="C16">
            <v>20</v>
          </cell>
          <cell r="G16">
            <v>20</v>
          </cell>
        </row>
        <row r="17">
          <cell r="C17">
            <v>20</v>
          </cell>
        </row>
        <row r="18">
          <cell r="C18">
            <v>20</v>
          </cell>
        </row>
        <row r="19">
          <cell r="C19">
            <v>20</v>
          </cell>
        </row>
        <row r="20">
          <cell r="C20">
            <v>20</v>
          </cell>
        </row>
      </sheetData>
      <sheetData sheetId="8">
        <row r="4">
          <cell r="O4" t="b">
            <v>0</v>
          </cell>
        </row>
        <row r="5">
          <cell r="O5">
            <v>6</v>
          </cell>
        </row>
        <row r="6">
          <cell r="O6" t="b">
            <v>1</v>
          </cell>
        </row>
        <row r="7">
          <cell r="O7" t="b">
            <v>1</v>
          </cell>
        </row>
        <row r="8">
          <cell r="O8" t="b">
            <v>1</v>
          </cell>
        </row>
        <row r="9">
          <cell r="O9" t="b">
            <v>1</v>
          </cell>
        </row>
        <row r="10">
          <cell r="O10" t="b">
            <v>1</v>
          </cell>
        </row>
        <row r="11">
          <cell r="O11" t="b">
            <v>1</v>
          </cell>
        </row>
        <row r="12">
          <cell r="O12">
            <v>100</v>
          </cell>
        </row>
        <row r="17">
          <cell r="O17" t="b">
            <v>0</v>
          </cell>
        </row>
        <row r="18">
          <cell r="O18">
            <v>6</v>
          </cell>
        </row>
        <row r="19">
          <cell r="O19" t="b">
            <v>1</v>
          </cell>
        </row>
        <row r="20">
          <cell r="O20" t="b">
            <v>1</v>
          </cell>
        </row>
        <row r="21">
          <cell r="O21" t="b">
            <v>1</v>
          </cell>
        </row>
        <row r="22">
          <cell r="O22" t="b">
            <v>1</v>
          </cell>
        </row>
        <row r="23">
          <cell r="O23" t="b">
            <v>1</v>
          </cell>
        </row>
        <row r="24">
          <cell r="O24" t="b">
            <v>1</v>
          </cell>
        </row>
        <row r="25">
          <cell r="O25" t="b">
            <v>1</v>
          </cell>
        </row>
        <row r="26">
          <cell r="O26" t="b">
            <v>1</v>
          </cell>
        </row>
        <row r="27">
          <cell r="O27" t="b">
            <v>1</v>
          </cell>
        </row>
        <row r="28">
          <cell r="O28" t="b">
            <v>1</v>
          </cell>
        </row>
        <row r="29">
          <cell r="O29" t="b">
            <v>1</v>
          </cell>
        </row>
        <row r="30">
          <cell r="O30" t="b">
            <v>1</v>
          </cell>
        </row>
        <row r="31">
          <cell r="O31">
            <v>100</v>
          </cell>
        </row>
        <row r="36">
          <cell r="O36">
            <v>153.95833333333334</v>
          </cell>
        </row>
        <row r="37">
          <cell r="O37">
            <v>6</v>
          </cell>
        </row>
        <row r="38">
          <cell r="O38" t="b">
            <v>1</v>
          </cell>
        </row>
        <row r="39">
          <cell r="O39" t="b">
            <v>1</v>
          </cell>
        </row>
        <row r="40">
          <cell r="O40" t="b">
            <v>1</v>
          </cell>
        </row>
        <row r="41">
          <cell r="O41" t="b">
            <v>1</v>
          </cell>
        </row>
        <row r="42">
          <cell r="O42" t="b">
            <v>1</v>
          </cell>
        </row>
        <row r="43">
          <cell r="O43" t="b">
            <v>1</v>
          </cell>
        </row>
        <row r="44">
          <cell r="O44" t="b">
            <v>1</v>
          </cell>
        </row>
        <row r="45">
          <cell r="O45" t="b">
            <v>1</v>
          </cell>
        </row>
        <row r="46">
          <cell r="O46" t="b">
            <v>1</v>
          </cell>
        </row>
        <row r="47">
          <cell r="O47" t="b">
            <v>1</v>
          </cell>
        </row>
        <row r="48">
          <cell r="O48" t="b">
            <v>1</v>
          </cell>
        </row>
        <row r="49">
          <cell r="O49" t="b">
            <v>1</v>
          </cell>
        </row>
        <row r="50">
          <cell r="O50" t="b">
            <v>0</v>
          </cell>
        </row>
        <row r="51">
          <cell r="O51">
            <v>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B1:V76"/>
  <sheetViews>
    <sheetView showGridLines="0" workbookViewId="0" topLeftCell="B1">
      <selection activeCell="D6" sqref="D6"/>
    </sheetView>
  </sheetViews>
  <sheetFormatPr defaultColWidth="9.140625" defaultRowHeight="12.75"/>
  <cols>
    <col min="1" max="1" width="4.00390625" style="0" customWidth="1"/>
    <col min="2" max="2" width="9.57421875" style="0" customWidth="1"/>
    <col min="3" max="4" width="10.7109375" style="0" customWidth="1"/>
    <col min="5" max="5" width="9.7109375" style="0" customWidth="1"/>
    <col min="6" max="7" width="10.7109375" style="0" hidden="1" customWidth="1"/>
    <col min="8" max="8" width="10.7109375" style="0" customWidth="1"/>
    <col min="9" max="9" width="9.8515625" style="0" customWidth="1"/>
    <col min="10" max="11" width="10.00390625" style="0" customWidth="1"/>
    <col min="12" max="14" width="10.7109375" style="0" customWidth="1"/>
    <col min="15" max="15" width="5.28125" style="0" customWidth="1"/>
    <col min="16" max="16" width="17.57421875" style="0" customWidth="1"/>
    <col min="17" max="17" width="14.7109375" style="0" customWidth="1"/>
    <col min="18" max="18" width="14.57421875" style="0" customWidth="1"/>
    <col min="19" max="19" width="7.28125" style="0" customWidth="1"/>
    <col min="20" max="20" width="16.8515625" style="0" customWidth="1"/>
    <col min="21" max="21" width="14.57421875" style="0" customWidth="1"/>
    <col min="22" max="22" width="14.421875" style="0" customWidth="1"/>
  </cols>
  <sheetData>
    <row r="1" spans="2:15" ht="12.75">
      <c r="B1" s="85"/>
      <c r="C1" s="85"/>
      <c r="D1" s="85"/>
      <c r="E1" s="85"/>
      <c r="F1" s="85"/>
      <c r="G1" s="85"/>
      <c r="H1" s="85"/>
      <c r="I1" s="85"/>
      <c r="J1" s="85"/>
      <c r="K1" s="85"/>
      <c r="L1" s="85"/>
      <c r="M1" s="85"/>
      <c r="N1" s="85"/>
      <c r="O1" s="8"/>
    </row>
    <row r="2" spans="2:15" ht="12.75">
      <c r="B2" s="85"/>
      <c r="C2" s="85"/>
      <c r="D2" s="85"/>
      <c r="E2" s="85"/>
      <c r="F2" s="85"/>
      <c r="G2" s="85"/>
      <c r="H2" s="85"/>
      <c r="I2" s="85"/>
      <c r="J2" s="85"/>
      <c r="K2" s="85"/>
      <c r="L2" s="85"/>
      <c r="M2" s="85"/>
      <c r="N2" s="85"/>
      <c r="O2" s="8"/>
    </row>
    <row r="3" spans="2:15" ht="12.75" customHeight="1">
      <c r="B3" s="3"/>
      <c r="C3" s="3"/>
      <c r="D3" s="3"/>
      <c r="E3" s="3"/>
      <c r="F3" s="3"/>
      <c r="G3" s="3"/>
      <c r="H3" s="3"/>
      <c r="I3" s="3"/>
      <c r="J3" s="3"/>
      <c r="K3" s="3"/>
      <c r="L3" s="3"/>
      <c r="M3" s="3"/>
      <c r="N3" s="3"/>
      <c r="O3" s="8"/>
    </row>
    <row r="4" spans="2:15" ht="12.75">
      <c r="B4" s="3"/>
      <c r="C4" s="3"/>
      <c r="D4" s="3"/>
      <c r="E4" s="3"/>
      <c r="F4" s="3"/>
      <c r="G4" s="3"/>
      <c r="H4" s="3"/>
      <c r="I4" s="3"/>
      <c r="J4" s="3"/>
      <c r="K4" s="3"/>
      <c r="L4" s="3"/>
      <c r="M4" s="3"/>
      <c r="N4" s="3"/>
      <c r="O4" s="8"/>
    </row>
    <row r="5" spans="2:16" ht="25.5">
      <c r="B5" s="9" t="s">
        <v>0</v>
      </c>
      <c r="C5" s="10"/>
      <c r="D5" s="14" t="s">
        <v>1</v>
      </c>
      <c r="E5" s="14" t="s">
        <v>2</v>
      </c>
      <c r="F5" s="10"/>
      <c r="G5" s="10"/>
      <c r="H5" s="14"/>
      <c r="I5" s="87" t="s">
        <v>37</v>
      </c>
      <c r="J5" s="88"/>
      <c r="K5" s="88"/>
      <c r="L5" s="88"/>
      <c r="M5" s="88"/>
      <c r="N5" s="89"/>
      <c r="P5" s="33" t="s">
        <v>39</v>
      </c>
    </row>
    <row r="6" spans="2:22" ht="25.5">
      <c r="B6" s="12" t="s">
        <v>70</v>
      </c>
      <c r="C6" s="1"/>
      <c r="D6" s="25"/>
      <c r="E6" s="25"/>
      <c r="F6" s="4">
        <f>D6/100</f>
        <v>0</v>
      </c>
      <c r="G6" s="1">
        <f>E6/100</f>
        <v>0</v>
      </c>
      <c r="H6" s="1"/>
      <c r="I6" s="1"/>
      <c r="J6" s="1"/>
      <c r="K6" s="1"/>
      <c r="L6" s="1" t="s">
        <v>17</v>
      </c>
      <c r="M6" s="1"/>
      <c r="N6" s="7"/>
      <c r="P6" s="6" t="s">
        <v>26</v>
      </c>
      <c r="Q6" s="3" t="s">
        <v>1</v>
      </c>
      <c r="R6" s="3" t="s">
        <v>2</v>
      </c>
      <c r="T6" s="6" t="s">
        <v>27</v>
      </c>
      <c r="U6" s="3" t="s">
        <v>1</v>
      </c>
      <c r="V6" s="3" t="s">
        <v>2</v>
      </c>
    </row>
    <row r="7" spans="2:22" ht="12.75">
      <c r="B7" s="12" t="s">
        <v>72</v>
      </c>
      <c r="C7" s="1"/>
      <c r="D7" s="25"/>
      <c r="E7" s="25"/>
      <c r="F7" s="4">
        <f>D7/100</f>
        <v>0</v>
      </c>
      <c r="G7" s="1">
        <f>E7/100</f>
        <v>0</v>
      </c>
      <c r="H7" s="1"/>
      <c r="I7" s="1"/>
      <c r="J7" s="1"/>
      <c r="K7" s="1"/>
      <c r="L7" s="1" t="s">
        <v>18</v>
      </c>
      <c r="M7" s="1"/>
      <c r="N7" s="7"/>
      <c r="P7" t="s">
        <v>11</v>
      </c>
      <c r="Q7" s="25">
        <v>2</v>
      </c>
      <c r="R7" s="25">
        <v>85</v>
      </c>
      <c r="T7" t="s">
        <v>11</v>
      </c>
      <c r="U7" s="25">
        <v>2</v>
      </c>
      <c r="V7" s="25">
        <v>85</v>
      </c>
    </row>
    <row r="8" spans="2:22" ht="12.75">
      <c r="B8" s="12" t="s">
        <v>71</v>
      </c>
      <c r="C8" s="1"/>
      <c r="D8" s="25"/>
      <c r="E8" s="68"/>
      <c r="F8" s="4">
        <f>D8/100</f>
        <v>0</v>
      </c>
      <c r="G8" s="1">
        <f>E8/100</f>
        <v>0</v>
      </c>
      <c r="H8" s="1"/>
      <c r="I8" s="1"/>
      <c r="J8" s="1"/>
      <c r="K8" s="1"/>
      <c r="L8" s="1" t="s">
        <v>19</v>
      </c>
      <c r="M8" s="1"/>
      <c r="N8" s="7"/>
      <c r="P8" t="s">
        <v>12</v>
      </c>
      <c r="Q8" s="25">
        <v>1</v>
      </c>
      <c r="R8" s="25">
        <v>40</v>
      </c>
      <c r="T8" t="s">
        <v>12</v>
      </c>
      <c r="U8" s="25">
        <v>1</v>
      </c>
      <c r="V8" s="25">
        <v>50</v>
      </c>
    </row>
    <row r="9" spans="2:22" ht="12.75">
      <c r="B9" s="12" t="s">
        <v>73</v>
      </c>
      <c r="C9" s="1"/>
      <c r="D9" s="25"/>
      <c r="E9" s="35"/>
      <c r="F9" s="4">
        <f>D9/100</f>
        <v>0</v>
      </c>
      <c r="G9" s="1"/>
      <c r="H9" s="1"/>
      <c r="I9" s="1"/>
      <c r="J9" s="1"/>
      <c r="K9" s="1"/>
      <c r="L9" s="1" t="s">
        <v>20</v>
      </c>
      <c r="M9" s="1"/>
      <c r="N9" s="7"/>
      <c r="P9" t="s">
        <v>13</v>
      </c>
      <c r="Q9" s="25">
        <v>10</v>
      </c>
      <c r="R9" s="68">
        <v>0</v>
      </c>
      <c r="T9" t="s">
        <v>13</v>
      </c>
      <c r="U9" s="25">
        <v>10</v>
      </c>
      <c r="V9" s="68">
        <v>0</v>
      </c>
    </row>
    <row r="10" spans="2:22" ht="12.75">
      <c r="B10" s="12" t="s">
        <v>74</v>
      </c>
      <c r="C10" s="1"/>
      <c r="D10" s="25"/>
      <c r="E10" s="35"/>
      <c r="F10" s="4">
        <f>D10/100</f>
        <v>0</v>
      </c>
      <c r="G10" s="1"/>
      <c r="H10" s="1"/>
      <c r="I10" s="1"/>
      <c r="J10" s="1"/>
      <c r="K10" s="1"/>
      <c r="L10" s="1" t="s">
        <v>21</v>
      </c>
      <c r="M10" s="1"/>
      <c r="N10" s="7"/>
      <c r="P10" t="s">
        <v>14</v>
      </c>
      <c r="Q10" s="25">
        <v>3</v>
      </c>
      <c r="R10" s="35"/>
      <c r="T10" t="s">
        <v>14</v>
      </c>
      <c r="U10" s="25">
        <v>3</v>
      </c>
      <c r="V10" s="35"/>
    </row>
    <row r="11" spans="2:22" ht="12.75">
      <c r="B11" s="12" t="s">
        <v>75</v>
      </c>
      <c r="C11" s="1"/>
      <c r="D11" s="25"/>
      <c r="E11" s="35"/>
      <c r="F11" s="4">
        <f>D11/100</f>
        <v>0</v>
      </c>
      <c r="G11" s="1"/>
      <c r="H11" s="1"/>
      <c r="I11" s="1"/>
      <c r="J11" s="1"/>
      <c r="K11" s="1"/>
      <c r="L11" s="1" t="s">
        <v>22</v>
      </c>
      <c r="M11" s="1"/>
      <c r="N11" s="7"/>
      <c r="P11" t="s">
        <v>15</v>
      </c>
      <c r="Q11" s="25">
        <v>2</v>
      </c>
      <c r="R11" s="35"/>
      <c r="T11" t="s">
        <v>15</v>
      </c>
      <c r="U11" s="25">
        <v>2</v>
      </c>
      <c r="V11" s="35"/>
    </row>
    <row r="12" spans="2:22" ht="12.75">
      <c r="B12" s="12"/>
      <c r="C12" s="1"/>
      <c r="D12" s="84"/>
      <c r="E12" s="84"/>
      <c r="F12" s="1"/>
      <c r="G12" s="1"/>
      <c r="H12" s="1"/>
      <c r="I12" s="1"/>
      <c r="J12" s="1"/>
      <c r="K12" s="1"/>
      <c r="L12" s="1" t="s">
        <v>23</v>
      </c>
      <c r="M12" s="1"/>
      <c r="N12" s="7"/>
      <c r="P12" t="s">
        <v>16</v>
      </c>
      <c r="Q12" s="25">
        <v>10</v>
      </c>
      <c r="R12" s="35"/>
      <c r="T12" t="s">
        <v>16</v>
      </c>
      <c r="U12" s="25">
        <v>10</v>
      </c>
      <c r="V12" s="35"/>
    </row>
    <row r="13" spans="2:22" ht="12.75">
      <c r="B13" s="12"/>
      <c r="F13" s="1"/>
      <c r="G13" s="1"/>
      <c r="H13" s="1"/>
      <c r="I13" s="1"/>
      <c r="J13" s="1"/>
      <c r="K13" s="1"/>
      <c r="L13" s="1" t="s">
        <v>24</v>
      </c>
      <c r="M13" s="1"/>
      <c r="N13" s="7"/>
      <c r="Q13" s="34"/>
      <c r="R13" s="84"/>
      <c r="U13" s="34"/>
      <c r="V13" s="84"/>
    </row>
    <row r="14" spans="2:22" ht="12.75">
      <c r="B14" s="13"/>
      <c r="C14" s="5"/>
      <c r="D14" s="5"/>
      <c r="E14" s="5"/>
      <c r="F14" s="5"/>
      <c r="G14" s="5"/>
      <c r="H14" s="5"/>
      <c r="I14" s="5"/>
      <c r="J14" s="5"/>
      <c r="K14" s="5"/>
      <c r="L14" s="5" t="s">
        <v>25</v>
      </c>
      <c r="M14" s="5"/>
      <c r="N14" s="15"/>
      <c r="R14" s="84"/>
      <c r="V14" s="84"/>
    </row>
    <row r="16" spans="2:22" ht="25.5">
      <c r="B16" s="9" t="s">
        <v>36</v>
      </c>
      <c r="C16" s="10"/>
      <c r="D16" s="10"/>
      <c r="E16" s="11"/>
      <c r="P16" s="6" t="s">
        <v>28</v>
      </c>
      <c r="Q16" s="3" t="s">
        <v>1</v>
      </c>
      <c r="R16" s="3" t="s">
        <v>2</v>
      </c>
      <c r="T16" s="6" t="s">
        <v>29</v>
      </c>
      <c r="U16" s="3" t="s">
        <v>1</v>
      </c>
      <c r="V16" s="3" t="s">
        <v>2</v>
      </c>
    </row>
    <row r="17" spans="2:22" ht="12.75">
      <c r="B17" s="86" t="s">
        <v>35</v>
      </c>
      <c r="C17" s="85"/>
      <c r="D17" s="85"/>
      <c r="E17" s="26"/>
      <c r="P17" t="s">
        <v>11</v>
      </c>
      <c r="Q17" s="25">
        <v>2</v>
      </c>
      <c r="R17" s="25">
        <v>85</v>
      </c>
      <c r="T17" t="s">
        <v>11</v>
      </c>
      <c r="U17" s="25">
        <v>2</v>
      </c>
      <c r="V17" s="25">
        <v>140</v>
      </c>
    </row>
    <row r="18" spans="2:22" ht="12.75">
      <c r="B18" s="86"/>
      <c r="C18" s="85"/>
      <c r="D18" s="85"/>
      <c r="E18" s="7"/>
      <c r="P18" t="s">
        <v>12</v>
      </c>
      <c r="Q18" s="25">
        <v>1</v>
      </c>
      <c r="R18" s="25">
        <v>50</v>
      </c>
      <c r="T18" t="s">
        <v>12</v>
      </c>
      <c r="U18" s="25">
        <v>5</v>
      </c>
      <c r="V18" s="25">
        <v>50</v>
      </c>
    </row>
    <row r="19" spans="2:22" ht="12.75">
      <c r="B19" s="96" t="s">
        <v>38</v>
      </c>
      <c r="C19" s="97"/>
      <c r="D19" s="97"/>
      <c r="E19" s="26"/>
      <c r="P19" t="s">
        <v>13</v>
      </c>
      <c r="Q19" s="25">
        <v>10</v>
      </c>
      <c r="R19" s="68">
        <v>5</v>
      </c>
      <c r="T19" t="s">
        <v>13</v>
      </c>
      <c r="U19" s="25">
        <v>10</v>
      </c>
      <c r="V19" s="68">
        <v>0</v>
      </c>
    </row>
    <row r="20" spans="2:22" ht="12.75" customHeight="1">
      <c r="B20" s="96"/>
      <c r="C20" s="97"/>
      <c r="D20" s="97"/>
      <c r="E20" s="7"/>
      <c r="P20" t="s">
        <v>14</v>
      </c>
      <c r="Q20" s="25">
        <v>3</v>
      </c>
      <c r="R20" s="35"/>
      <c r="T20" t="s">
        <v>14</v>
      </c>
      <c r="U20" s="25">
        <v>5</v>
      </c>
      <c r="V20" s="35"/>
    </row>
    <row r="21" spans="2:22" ht="12.75">
      <c r="B21" s="90" t="s">
        <v>67</v>
      </c>
      <c r="C21" s="91"/>
      <c r="D21" s="16" t="s">
        <v>11</v>
      </c>
      <c r="E21" s="30">
        <f>IF(OR($G$7=0,$E$17=0,$E$19=0),"",ROUND(SUM('Age structure predictor'!$T$33:$T$40),0))</f>
      </c>
      <c r="F21" s="54" t="e">
        <f>E23/SUM(E21:E23)*100</f>
        <v>#VALUE!</v>
      </c>
      <c r="G21" t="s">
        <v>58</v>
      </c>
      <c r="P21" t="s">
        <v>15</v>
      </c>
      <c r="Q21" s="25">
        <v>2</v>
      </c>
      <c r="R21" s="35"/>
      <c r="T21" t="s">
        <v>15</v>
      </c>
      <c r="U21" s="25">
        <v>10</v>
      </c>
      <c r="V21" s="35"/>
    </row>
    <row r="22" spans="2:22" ht="12.75">
      <c r="B22" s="92"/>
      <c r="C22" s="93"/>
      <c r="D22" s="16" t="s">
        <v>12</v>
      </c>
      <c r="E22" s="30">
        <f>IF(OR($G$7=0,$E$17=0,$E$19=0),"",ROUND('Age structure predictor'!$T$32,))</f>
      </c>
      <c r="F22" s="54" t="e">
        <f>(E23+E26)/SUM(E21:E23)*100</f>
        <v>#VALUE!</v>
      </c>
      <c r="G22" t="s">
        <v>59</v>
      </c>
      <c r="P22" t="s">
        <v>16</v>
      </c>
      <c r="Q22" s="25">
        <v>10</v>
      </c>
      <c r="R22" s="35"/>
      <c r="T22" t="s">
        <v>16</v>
      </c>
      <c r="U22" s="25">
        <v>15</v>
      </c>
      <c r="V22" s="35"/>
    </row>
    <row r="23" spans="2:22" ht="12.75">
      <c r="B23" s="92"/>
      <c r="C23" s="93"/>
      <c r="D23" s="16" t="s">
        <v>13</v>
      </c>
      <c r="E23" s="30">
        <f>IF(OR($G$7=0,$E$17=0,$E$19=0),"",ROUND((E21*G6+E22*G7)/2,0))</f>
      </c>
      <c r="Q23" s="34"/>
      <c r="R23" s="84"/>
      <c r="U23" s="34"/>
      <c r="V23" s="84"/>
    </row>
    <row r="24" spans="2:22" ht="12.75">
      <c r="B24" s="92"/>
      <c r="C24" s="93"/>
      <c r="D24" s="16" t="s">
        <v>14</v>
      </c>
      <c r="E24" s="30">
        <f>IF(OR($G$7=0,$E$17=0,$E$19=0),"",ROUND(SUM('Age structure predictor'!$P$33:$P$40),0))</f>
      </c>
      <c r="R24" s="84"/>
      <c r="V24" s="84"/>
    </row>
    <row r="25" spans="2:5" ht="12.75" customHeight="1">
      <c r="B25" s="92"/>
      <c r="C25" s="93"/>
      <c r="D25" s="16" t="s">
        <v>15</v>
      </c>
      <c r="E25" s="30">
        <f>IF(OR($G$7=0,$E$17=0,$E$19=0),"",ROUND('Age structure predictor'!$P$32,0))</f>
      </c>
    </row>
    <row r="26" spans="2:22" ht="12" customHeight="1">
      <c r="B26" s="94"/>
      <c r="C26" s="95"/>
      <c r="D26" s="16" t="s">
        <v>16</v>
      </c>
      <c r="E26" s="30">
        <f>E23</f>
      </c>
      <c r="P26" s="6" t="s">
        <v>30</v>
      </c>
      <c r="Q26" s="3" t="s">
        <v>1</v>
      </c>
      <c r="R26" s="3" t="s">
        <v>2</v>
      </c>
      <c r="T26" s="6" t="s">
        <v>31</v>
      </c>
      <c r="U26" s="3" t="s">
        <v>1</v>
      </c>
      <c r="V26" s="3" t="s">
        <v>2</v>
      </c>
    </row>
    <row r="27" spans="2:22" ht="12.75">
      <c r="B27" s="23"/>
      <c r="C27" s="23"/>
      <c r="D27" s="23"/>
      <c r="E27" s="24"/>
      <c r="P27" t="s">
        <v>11</v>
      </c>
      <c r="Q27" s="25">
        <v>2</v>
      </c>
      <c r="R27" s="25">
        <v>180</v>
      </c>
      <c r="T27" t="s">
        <v>11</v>
      </c>
      <c r="U27" s="25">
        <v>2</v>
      </c>
      <c r="V27" s="25">
        <v>150</v>
      </c>
    </row>
    <row r="28" spans="16:22" ht="12.75" customHeight="1">
      <c r="P28" t="s">
        <v>12</v>
      </c>
      <c r="Q28" s="25">
        <v>10</v>
      </c>
      <c r="R28" s="25">
        <v>80</v>
      </c>
      <c r="T28" t="s">
        <v>12</v>
      </c>
      <c r="U28" s="25">
        <v>5</v>
      </c>
      <c r="V28" s="25">
        <v>60</v>
      </c>
    </row>
    <row r="29" spans="2:22" ht="16.5" thickBot="1">
      <c r="B29" s="2" t="s">
        <v>3</v>
      </c>
      <c r="C29" s="1"/>
      <c r="D29" s="1"/>
      <c r="E29" s="1"/>
      <c r="F29" s="1"/>
      <c r="G29" s="1"/>
      <c r="H29" s="1"/>
      <c r="I29" s="1"/>
      <c r="J29" s="1"/>
      <c r="P29" t="s">
        <v>13</v>
      </c>
      <c r="Q29" s="25">
        <v>20</v>
      </c>
      <c r="R29" s="68">
        <v>5</v>
      </c>
      <c r="T29" t="s">
        <v>13</v>
      </c>
      <c r="U29" s="25">
        <v>15</v>
      </c>
      <c r="V29" s="68">
        <v>5</v>
      </c>
    </row>
    <row r="30" spans="2:22" ht="13.5" thickTop="1">
      <c r="B30" s="16"/>
      <c r="C30" s="16" t="s">
        <v>4</v>
      </c>
      <c r="D30" s="17" t="s">
        <v>5</v>
      </c>
      <c r="E30" s="16" t="s">
        <v>6</v>
      </c>
      <c r="F30" s="16"/>
      <c r="G30" s="16"/>
      <c r="H30" s="16" t="s">
        <v>7</v>
      </c>
      <c r="I30" s="58" t="s">
        <v>6</v>
      </c>
      <c r="J30" s="80" t="s">
        <v>8</v>
      </c>
      <c r="K30" s="62" t="s">
        <v>10</v>
      </c>
      <c r="L30" s="22" t="s">
        <v>32</v>
      </c>
      <c r="M30" s="62" t="s">
        <v>33</v>
      </c>
      <c r="N30" s="63" t="str">
        <f>J69</f>
        <v>Aug Yr 6</v>
      </c>
      <c r="P30" t="s">
        <v>14</v>
      </c>
      <c r="Q30" s="25">
        <v>2</v>
      </c>
      <c r="R30" s="35"/>
      <c r="T30" t="s">
        <v>14</v>
      </c>
      <c r="U30" s="25">
        <v>5</v>
      </c>
      <c r="V30" s="35"/>
    </row>
    <row r="31" spans="2:22" ht="12.75">
      <c r="B31" s="16" t="s">
        <v>11</v>
      </c>
      <c r="C31" s="27"/>
      <c r="D31" s="27"/>
      <c r="E31" s="18">
        <f aca="true" t="shared" si="0" ref="E31:E36">IF(C31&lt;D31,0,C31-D31)</f>
        <v>0</v>
      </c>
      <c r="F31" s="16"/>
      <c r="G31" s="18"/>
      <c r="H31" s="18">
        <f>IF($C$31=0,0,ROUND(E31*SUM('Age structure predictor'!$U$6:$U$12)*(1-'Age structure predictor'!$E$10)+E31*'Age structure predictor'!$U$13*(1-'Age structure predictor'!$L$10),0))</f>
        <v>0</v>
      </c>
      <c r="I31" s="59">
        <f aca="true" t="shared" si="1" ref="I31:I36">IF(E31&lt;H31,0,E31-H31)</f>
        <v>0</v>
      </c>
      <c r="J31" s="81">
        <f>I32+I31</f>
        <v>0</v>
      </c>
      <c r="K31" s="18">
        <f>J43</f>
        <v>0</v>
      </c>
      <c r="L31" s="18">
        <f>J52</f>
        <v>0</v>
      </c>
      <c r="M31" s="18">
        <f>J61</f>
        <v>0</v>
      </c>
      <c r="N31" s="64">
        <f aca="true" t="shared" si="2" ref="N31:N37">J70</f>
        <v>0</v>
      </c>
      <c r="P31" t="s">
        <v>15</v>
      </c>
      <c r="Q31" s="25">
        <v>10</v>
      </c>
      <c r="R31" s="35"/>
      <c r="T31" t="s">
        <v>15</v>
      </c>
      <c r="U31" s="25">
        <v>10</v>
      </c>
      <c r="V31" s="35"/>
    </row>
    <row r="32" spans="2:22" ht="12.75">
      <c r="B32" s="16" t="s">
        <v>12</v>
      </c>
      <c r="C32" s="27"/>
      <c r="D32" s="27"/>
      <c r="E32" s="18">
        <f t="shared" si="0"/>
        <v>0</v>
      </c>
      <c r="F32" s="16"/>
      <c r="G32" s="18"/>
      <c r="H32" s="18">
        <f>ROUND(E32*$F$7,0)</f>
        <v>0</v>
      </c>
      <c r="I32" s="59">
        <f t="shared" si="1"/>
        <v>0</v>
      </c>
      <c r="J32" s="81">
        <f>I33</f>
        <v>0</v>
      </c>
      <c r="K32" s="18">
        <f aca="true" t="shared" si="3" ref="K32:K37">J44</f>
        <v>0</v>
      </c>
      <c r="L32" s="18">
        <f aca="true" t="shared" si="4" ref="L32:L37">J53</f>
        <v>0</v>
      </c>
      <c r="M32" s="18">
        <f aca="true" t="shared" si="5" ref="M32:M37">J62</f>
        <v>0</v>
      </c>
      <c r="N32" s="64">
        <f t="shared" si="2"/>
        <v>0</v>
      </c>
      <c r="P32" t="s">
        <v>16</v>
      </c>
      <c r="Q32" s="25">
        <v>25</v>
      </c>
      <c r="R32" s="35"/>
      <c r="T32" t="s">
        <v>16</v>
      </c>
      <c r="U32" s="25">
        <v>15</v>
      </c>
      <c r="V32" s="35"/>
    </row>
    <row r="33" spans="2:22" ht="12.75">
      <c r="B33" s="16" t="s">
        <v>13</v>
      </c>
      <c r="C33" s="27"/>
      <c r="D33" s="27"/>
      <c r="E33" s="18">
        <f t="shared" si="0"/>
        <v>0</v>
      </c>
      <c r="F33" s="16"/>
      <c r="G33" s="18"/>
      <c r="H33" s="18">
        <f>ROUND(E33*$F$8,0)</f>
        <v>0</v>
      </c>
      <c r="I33" s="59">
        <f t="shared" si="1"/>
        <v>0</v>
      </c>
      <c r="J33" s="81">
        <f>ROUND(((I31*$G$6)+(I32*$G$7)+(I33*$G$8))*0.5,0)</f>
        <v>0</v>
      </c>
      <c r="K33" s="18">
        <f t="shared" si="3"/>
        <v>0</v>
      </c>
      <c r="L33" s="18">
        <f t="shared" si="4"/>
        <v>0</v>
      </c>
      <c r="M33" s="18">
        <f t="shared" si="5"/>
        <v>0</v>
      </c>
      <c r="N33" s="64">
        <f t="shared" si="2"/>
        <v>0</v>
      </c>
      <c r="Q33" s="34"/>
      <c r="R33" s="84"/>
      <c r="U33" s="34"/>
      <c r="V33" s="84"/>
    </row>
    <row r="34" spans="2:22" ht="12.75">
      <c r="B34" s="16" t="s">
        <v>14</v>
      </c>
      <c r="C34" s="27"/>
      <c r="D34" s="27"/>
      <c r="E34" s="18">
        <f t="shared" si="0"/>
        <v>0</v>
      </c>
      <c r="F34" s="16"/>
      <c r="G34" s="18"/>
      <c r="H34" s="18">
        <f>IF($C$34=0,0,ROUND(E34*SUM('Age structure predictor'!$Q$6:$Q$12)*(1-'Age structure predictor'!$E$9)+E34*'Age structure predictor'!$Q$13*(1-'Age structure predictor'!$L$9),0))</f>
        <v>0</v>
      </c>
      <c r="I34" s="59">
        <f t="shared" si="1"/>
        <v>0</v>
      </c>
      <c r="J34" s="81">
        <f>I34+I35</f>
        <v>0</v>
      </c>
      <c r="K34" s="18">
        <f t="shared" si="3"/>
        <v>0</v>
      </c>
      <c r="L34" s="18">
        <f t="shared" si="4"/>
        <v>0</v>
      </c>
      <c r="M34" s="18">
        <f t="shared" si="5"/>
        <v>0</v>
      </c>
      <c r="N34" s="64">
        <f t="shared" si="2"/>
        <v>0</v>
      </c>
      <c r="R34" s="84"/>
      <c r="V34" s="84"/>
    </row>
    <row r="35" spans="2:14" ht="12.75">
      <c r="B35" s="16" t="s">
        <v>15</v>
      </c>
      <c r="C35" s="27"/>
      <c r="D35" s="27"/>
      <c r="E35" s="18">
        <f t="shared" si="0"/>
        <v>0</v>
      </c>
      <c r="F35" s="16"/>
      <c r="G35" s="18"/>
      <c r="H35" s="18">
        <f>ROUND(E35*$F$10,0)</f>
        <v>0</v>
      </c>
      <c r="I35" s="59">
        <f t="shared" si="1"/>
        <v>0</v>
      </c>
      <c r="J35" s="81">
        <f>I36</f>
        <v>0</v>
      </c>
      <c r="K35" s="18">
        <f t="shared" si="3"/>
        <v>0</v>
      </c>
      <c r="L35" s="18">
        <f t="shared" si="4"/>
        <v>0</v>
      </c>
      <c r="M35" s="18">
        <f t="shared" si="5"/>
        <v>0</v>
      </c>
      <c r="N35" s="64">
        <f t="shared" si="2"/>
        <v>0</v>
      </c>
    </row>
    <row r="36" spans="2:14" ht="12.75" customHeight="1" thickBot="1">
      <c r="B36" s="16" t="s">
        <v>16</v>
      </c>
      <c r="C36" s="28"/>
      <c r="D36" s="27"/>
      <c r="E36" s="19">
        <f t="shared" si="0"/>
        <v>0</v>
      </c>
      <c r="F36" s="20"/>
      <c r="G36" s="19"/>
      <c r="H36" s="19">
        <f>ROUND(E36*$F$11,0)</f>
        <v>0</v>
      </c>
      <c r="I36" s="60">
        <f t="shared" si="1"/>
        <v>0</v>
      </c>
      <c r="J36" s="82">
        <f>ROUND(((I31*$G$6)+(I32*$G$7)+(I33*$G$8))*0.5,0)</f>
        <v>0</v>
      </c>
      <c r="K36" s="19">
        <f t="shared" si="3"/>
        <v>0</v>
      </c>
      <c r="L36" s="19">
        <f t="shared" si="4"/>
        <v>0</v>
      </c>
      <c r="M36" s="19">
        <f t="shared" si="5"/>
        <v>0</v>
      </c>
      <c r="N36" s="65">
        <f t="shared" si="2"/>
        <v>0</v>
      </c>
    </row>
    <row r="37" spans="2:14" ht="14.25" thickBot="1" thickTop="1">
      <c r="B37" s="16" t="s">
        <v>9</v>
      </c>
      <c r="C37" s="21">
        <f>SUM(C31:C36)</f>
        <v>0</v>
      </c>
      <c r="D37" s="21">
        <f>IF(SUM(D31:D36)&gt;SUM(C31:C36),SUM(C31:C36),SUM(D31:D36))</f>
        <v>0</v>
      </c>
      <c r="E37" s="21">
        <f>SUM(E31:E36)</f>
        <v>0</v>
      </c>
      <c r="F37" s="22"/>
      <c r="G37" s="21"/>
      <c r="H37" s="21">
        <f>SUM(H31:H36)</f>
        <v>0</v>
      </c>
      <c r="I37" s="61">
        <f>SUM(I31:I36)</f>
        <v>0</v>
      </c>
      <c r="J37" s="83">
        <f>SUM(J31:J36)</f>
        <v>0</v>
      </c>
      <c r="K37" s="66">
        <f t="shared" si="3"/>
        <v>0</v>
      </c>
      <c r="L37" s="66">
        <f t="shared" si="4"/>
        <v>0</v>
      </c>
      <c r="M37" s="66">
        <f t="shared" si="5"/>
        <v>0</v>
      </c>
      <c r="N37" s="67">
        <f t="shared" si="2"/>
        <v>0</v>
      </c>
    </row>
    <row r="38" spans="2:14" ht="13.5" thickTop="1">
      <c r="B38" s="69" t="s">
        <v>11</v>
      </c>
      <c r="C38" s="70">
        <f>SUM(C31:C33)</f>
        <v>0</v>
      </c>
      <c r="D38" s="70"/>
      <c r="E38" s="70"/>
      <c r="F38" s="70"/>
      <c r="G38" s="70"/>
      <c r="H38" s="70"/>
      <c r="I38" s="70"/>
      <c r="J38" s="72">
        <f>SUM(J31:J33)</f>
        <v>0</v>
      </c>
      <c r="K38" s="72">
        <f>SUM(K31:K33)</f>
        <v>0</v>
      </c>
      <c r="L38" s="72">
        <f>SUM(L31:L33)</f>
        <v>0</v>
      </c>
      <c r="M38" s="72">
        <f>SUM(M31:M33)</f>
        <v>0</v>
      </c>
      <c r="N38" s="72">
        <f>SUM(N31:N33)</f>
        <v>0</v>
      </c>
    </row>
    <row r="39" spans="2:14" ht="12.75">
      <c r="B39" s="71" t="s">
        <v>14</v>
      </c>
      <c r="C39" s="72">
        <f>SUM(C34:C36)</f>
        <v>0</v>
      </c>
      <c r="D39" s="72"/>
      <c r="E39" s="72"/>
      <c r="F39" s="72"/>
      <c r="G39" s="72"/>
      <c r="H39" s="72"/>
      <c r="I39" s="72"/>
      <c r="J39" s="72">
        <f>SUM(J34:J36)</f>
        <v>0</v>
      </c>
      <c r="K39" s="72">
        <f>SUM(K34:K36)</f>
        <v>0</v>
      </c>
      <c r="L39" s="72">
        <f>SUM(L34:L36)</f>
        <v>0</v>
      </c>
      <c r="M39" s="72">
        <f>SUM(M34:M36)</f>
        <v>0</v>
      </c>
      <c r="N39" s="72">
        <f>SUM(N34:N36)</f>
        <v>0</v>
      </c>
    </row>
    <row r="40" spans="2:14" ht="12.75">
      <c r="B40" s="73" t="s">
        <v>69</v>
      </c>
      <c r="C40" s="72" t="e">
        <f>SUM(D31:D33)/C38*100</f>
        <v>#DIV/0!</v>
      </c>
      <c r="D40" s="72"/>
      <c r="E40" s="71"/>
      <c r="F40" s="74"/>
      <c r="G40" s="72"/>
      <c r="H40" s="72"/>
      <c r="I40" s="72"/>
      <c r="J40" s="75" t="e">
        <f>SUM(D31:D33)/SUM(C31:C33)*100</f>
        <v>#DIV/0!</v>
      </c>
      <c r="K40" s="75" t="e">
        <f>SUM(D43:D45)/SUM(C43:C45)*100</f>
        <v>#DIV/0!</v>
      </c>
      <c r="L40" s="75" t="e">
        <f>SUM(D52:D54)/SUM(C52:C54)*100</f>
        <v>#DIV/0!</v>
      </c>
      <c r="M40" s="75" t="e">
        <f>SUM(D61:D63)/SUM(C61:C63)*100</f>
        <v>#DIV/0!</v>
      </c>
      <c r="N40" s="75" t="e">
        <f>SUM(D70:D72)/SUM(C70:C72)*100</f>
        <v>#DIV/0!</v>
      </c>
    </row>
    <row r="41" spans="2:14" ht="12.75">
      <c r="B41" s="71" t="s">
        <v>68</v>
      </c>
      <c r="C41" s="76" t="e">
        <f>D37/C37*100</f>
        <v>#DIV/0!</v>
      </c>
      <c r="D41" s="76"/>
      <c r="E41" s="76"/>
      <c r="F41" s="74"/>
      <c r="G41" s="76"/>
      <c r="H41" s="76"/>
      <c r="I41" s="76"/>
      <c r="J41" s="74" t="e">
        <f>D37/C37*100</f>
        <v>#DIV/0!</v>
      </c>
      <c r="K41" s="74" t="e">
        <f>D49/C49*100</f>
        <v>#DIV/0!</v>
      </c>
      <c r="L41" s="74" t="e">
        <f>D58/C58*100</f>
        <v>#DIV/0!</v>
      </c>
      <c r="M41" s="74" t="e">
        <f>D58/C58*100</f>
        <v>#DIV/0!</v>
      </c>
      <c r="N41" s="74" t="e">
        <f>D67/C67*100</f>
        <v>#DIV/0!</v>
      </c>
    </row>
    <row r="42" spans="2:14" ht="12.75">
      <c r="B42" s="78"/>
      <c r="C42" s="78" t="s">
        <v>8</v>
      </c>
      <c r="D42" s="79" t="s">
        <v>5</v>
      </c>
      <c r="E42" s="78" t="s">
        <v>6</v>
      </c>
      <c r="F42" s="78"/>
      <c r="G42" s="78"/>
      <c r="H42" s="78" t="s">
        <v>7</v>
      </c>
      <c r="I42" s="78" t="s">
        <v>6</v>
      </c>
      <c r="J42" s="78" t="s">
        <v>10</v>
      </c>
      <c r="K42" s="77"/>
      <c r="L42" s="77"/>
      <c r="M42" s="77"/>
      <c r="N42" s="77"/>
    </row>
    <row r="43" spans="2:10" ht="12.75">
      <c r="B43" s="16" t="s">
        <v>11</v>
      </c>
      <c r="C43" s="17">
        <f aca="true" t="shared" si="6" ref="C43:C48">J31</f>
        <v>0</v>
      </c>
      <c r="D43" s="27"/>
      <c r="E43" s="18">
        <f aca="true" t="shared" si="7" ref="E43:E48">IF(C43&lt;D43,0,C43-D43)</f>
        <v>0</v>
      </c>
      <c r="F43" s="16"/>
      <c r="G43" s="17"/>
      <c r="H43" s="18">
        <f>IF($C$31=0,0,ROUND(E43*SUM('Age structure predictor'!$U$6:$U$12)*(1-'Age structure predictor'!$E$10)+E43*'Age structure predictor'!$U$13*(1-'Age structure predictor'!$L$10),0))</f>
        <v>0</v>
      </c>
      <c r="I43" s="18">
        <f aca="true" t="shared" si="8" ref="I43:I48">IF(E43&lt;H43,0,E43-H43)</f>
        <v>0</v>
      </c>
      <c r="J43" s="17">
        <f>I43+I44</f>
        <v>0</v>
      </c>
    </row>
    <row r="44" spans="2:12" ht="12.75">
      <c r="B44" s="16" t="s">
        <v>12</v>
      </c>
      <c r="C44" s="17">
        <f t="shared" si="6"/>
        <v>0</v>
      </c>
      <c r="D44" s="27"/>
      <c r="E44" s="18">
        <f t="shared" si="7"/>
        <v>0</v>
      </c>
      <c r="F44" s="16"/>
      <c r="G44" s="17"/>
      <c r="H44" s="18">
        <f>ROUND(E44*$F$7,0)</f>
        <v>0</v>
      </c>
      <c r="I44" s="18">
        <f t="shared" si="8"/>
        <v>0</v>
      </c>
      <c r="J44" s="17">
        <f>I45</f>
        <v>0</v>
      </c>
      <c r="L44" s="57"/>
    </row>
    <row r="45" spans="2:12" ht="12.75">
      <c r="B45" s="16" t="s">
        <v>13</v>
      </c>
      <c r="C45" s="17">
        <f t="shared" si="6"/>
        <v>0</v>
      </c>
      <c r="D45" s="27"/>
      <c r="E45" s="18">
        <f t="shared" si="7"/>
        <v>0</v>
      </c>
      <c r="F45" s="16"/>
      <c r="G45" s="17"/>
      <c r="H45" s="18">
        <f>ROUND(E45*$F$8,0)</f>
        <v>0</v>
      </c>
      <c r="I45" s="18">
        <f t="shared" si="8"/>
        <v>0</v>
      </c>
      <c r="J45" s="17">
        <f>ROUND(((I43*$G$6)+(I44*$G$7)+(I45*$G$8))*0.5,0)</f>
        <v>0</v>
      </c>
      <c r="L45" s="57"/>
    </row>
    <row r="46" spans="2:12" ht="12.75">
      <c r="B46" s="16" t="s">
        <v>14</v>
      </c>
      <c r="C46" s="17">
        <f t="shared" si="6"/>
        <v>0</v>
      </c>
      <c r="D46" s="27"/>
      <c r="E46" s="18">
        <f t="shared" si="7"/>
        <v>0</v>
      </c>
      <c r="F46" s="16"/>
      <c r="G46" s="17"/>
      <c r="H46" s="18">
        <f>IF($C$34=0,0,ROUND(E46*SUM('Age structure predictor'!$Q$6:$Q$12)*(1-'Age structure predictor'!$E$9)+E46*'Age structure predictor'!$Q$13*(1-'Age structure predictor'!$L$9),0))</f>
        <v>0</v>
      </c>
      <c r="I46" s="18">
        <f t="shared" si="8"/>
        <v>0</v>
      </c>
      <c r="J46" s="17">
        <f>I46+I47</f>
        <v>0</v>
      </c>
      <c r="L46" s="54"/>
    </row>
    <row r="47" spans="2:10" ht="12.75">
      <c r="B47" s="16" t="s">
        <v>15</v>
      </c>
      <c r="C47" s="17">
        <f t="shared" si="6"/>
        <v>0</v>
      </c>
      <c r="D47" s="27"/>
      <c r="E47" s="18">
        <f t="shared" si="7"/>
        <v>0</v>
      </c>
      <c r="F47" s="16"/>
      <c r="G47" s="17"/>
      <c r="H47" s="18">
        <f>ROUND(E47*$F$10,0)</f>
        <v>0</v>
      </c>
      <c r="I47" s="18">
        <f t="shared" si="8"/>
        <v>0</v>
      </c>
      <c r="J47" s="17">
        <f>I48</f>
        <v>0</v>
      </c>
    </row>
    <row r="48" spans="2:10" ht="13.5" thickBot="1">
      <c r="B48" s="16" t="s">
        <v>16</v>
      </c>
      <c r="C48" s="17">
        <f t="shared" si="6"/>
        <v>0</v>
      </c>
      <c r="D48" s="27"/>
      <c r="E48" s="18">
        <f t="shared" si="7"/>
        <v>0</v>
      </c>
      <c r="F48" s="16"/>
      <c r="G48" s="17"/>
      <c r="H48" s="19">
        <f>ROUND(E48*$F$11,0)</f>
        <v>0</v>
      </c>
      <c r="I48" s="18">
        <f t="shared" si="8"/>
        <v>0</v>
      </c>
      <c r="J48" s="17">
        <f>ROUND(((I43*$G$6)+(I44*$G$7)+(I45*$G$8))*0.5,0)</f>
        <v>0</v>
      </c>
    </row>
    <row r="49" spans="2:10" ht="13.5" thickTop="1">
      <c r="B49" s="16" t="s">
        <v>9</v>
      </c>
      <c r="C49" s="21">
        <f>SUM(C43:C48)</f>
        <v>0</v>
      </c>
      <c r="D49" s="21">
        <f>IF(SUM(D43:D48)&gt;SUM(C43:C48),SUM(C43:C48),SUM(D43:D48))</f>
        <v>0</v>
      </c>
      <c r="E49" s="21">
        <f>SUM(E43:E48)</f>
        <v>0</v>
      </c>
      <c r="F49" s="21"/>
      <c r="G49" s="21"/>
      <c r="H49" s="21">
        <f>SUM(H43:H48)</f>
        <v>0</v>
      </c>
      <c r="I49" s="21">
        <f>SUM(I43:I48)</f>
        <v>0</v>
      </c>
      <c r="J49" s="21">
        <f>SUM(J43:J48)</f>
        <v>0</v>
      </c>
    </row>
    <row r="50" spans="2:10" ht="12.75">
      <c r="B50" s="1"/>
      <c r="C50" s="32"/>
      <c r="D50" s="32"/>
      <c r="E50" s="31"/>
      <c r="F50" s="10"/>
      <c r="G50" s="32"/>
      <c r="H50" s="56"/>
      <c r="I50" s="55"/>
      <c r="J50" s="1"/>
    </row>
    <row r="51" spans="2:10" ht="12.75">
      <c r="B51" s="16"/>
      <c r="C51" s="16" t="s">
        <v>10</v>
      </c>
      <c r="D51" s="29" t="s">
        <v>5</v>
      </c>
      <c r="E51" s="16" t="s">
        <v>6</v>
      </c>
      <c r="F51" s="16"/>
      <c r="G51" s="16"/>
      <c r="H51" s="16" t="s">
        <v>7</v>
      </c>
      <c r="I51" s="16" t="s">
        <v>6</v>
      </c>
      <c r="J51" s="16" t="s">
        <v>32</v>
      </c>
    </row>
    <row r="52" spans="2:10" ht="12.75">
      <c r="B52" s="16" t="s">
        <v>11</v>
      </c>
      <c r="C52" s="17">
        <f aca="true" t="shared" si="9" ref="C52:C57">J43</f>
        <v>0</v>
      </c>
      <c r="D52" s="27"/>
      <c r="E52" s="18">
        <f aca="true" t="shared" si="10" ref="E52:E57">IF(C52&lt;D52,0,C52-D52)</f>
        <v>0</v>
      </c>
      <c r="F52" s="16"/>
      <c r="G52" s="17"/>
      <c r="H52" s="18">
        <f>IF($C$31=0,0,ROUND(E52*SUM('Age structure predictor'!$U$6:$U$12)*(1-'Age structure predictor'!$E$10)+E52*'Age structure predictor'!$U$13*(1-'Age structure predictor'!$L$10),0))</f>
        <v>0</v>
      </c>
      <c r="I52" s="18">
        <f aca="true" t="shared" si="11" ref="I52:I57">IF(E52&lt;H52,0,E52-H52)</f>
        <v>0</v>
      </c>
      <c r="J52" s="17">
        <f>I52+I53</f>
        <v>0</v>
      </c>
    </row>
    <row r="53" spans="2:10" ht="12.75">
      <c r="B53" s="16" t="s">
        <v>12</v>
      </c>
      <c r="C53" s="17">
        <f t="shared" si="9"/>
        <v>0</v>
      </c>
      <c r="D53" s="27"/>
      <c r="E53" s="18">
        <f t="shared" si="10"/>
        <v>0</v>
      </c>
      <c r="F53" s="16"/>
      <c r="G53" s="17"/>
      <c r="H53" s="18">
        <f>ROUND(E53*$F$7,0)</f>
        <v>0</v>
      </c>
      <c r="I53" s="18">
        <f t="shared" si="11"/>
        <v>0</v>
      </c>
      <c r="J53" s="17">
        <f>I54</f>
        <v>0</v>
      </c>
    </row>
    <row r="54" spans="2:10" ht="12.75">
      <c r="B54" s="16" t="s">
        <v>13</v>
      </c>
      <c r="C54" s="17">
        <f t="shared" si="9"/>
        <v>0</v>
      </c>
      <c r="D54" s="27"/>
      <c r="E54" s="18">
        <f t="shared" si="10"/>
        <v>0</v>
      </c>
      <c r="F54" s="16"/>
      <c r="G54" s="17"/>
      <c r="H54" s="18">
        <f>ROUND(E54*$F$8,0)</f>
        <v>0</v>
      </c>
      <c r="I54" s="18">
        <f t="shared" si="11"/>
        <v>0</v>
      </c>
      <c r="J54" s="17">
        <f>ROUND(((I52*$G$6)+(I53*$G$7)+(I54*$G$8))*0.5,0)</f>
        <v>0</v>
      </c>
    </row>
    <row r="55" spans="2:10" ht="12.75">
      <c r="B55" s="16" t="s">
        <v>14</v>
      </c>
      <c r="C55" s="17">
        <f t="shared" si="9"/>
        <v>0</v>
      </c>
      <c r="D55" s="27"/>
      <c r="E55" s="18">
        <f t="shared" si="10"/>
        <v>0</v>
      </c>
      <c r="F55" s="16"/>
      <c r="G55" s="17"/>
      <c r="H55" s="18">
        <f>IF($C$34=0,0,ROUND(E55*SUM('Age structure predictor'!$Q$6:$Q$12)*(1-'Age structure predictor'!$E$9)+E55*'Age structure predictor'!$Q$13*(1-'Age structure predictor'!$L$9),0))</f>
        <v>0</v>
      </c>
      <c r="I55" s="18">
        <f t="shared" si="11"/>
        <v>0</v>
      </c>
      <c r="J55" s="17">
        <f>I55+I56</f>
        <v>0</v>
      </c>
    </row>
    <row r="56" spans="2:10" ht="12.75">
      <c r="B56" s="16" t="s">
        <v>15</v>
      </c>
      <c r="C56" s="17">
        <f t="shared" si="9"/>
        <v>0</v>
      </c>
      <c r="D56" s="27"/>
      <c r="E56" s="18">
        <f t="shared" si="10"/>
        <v>0</v>
      </c>
      <c r="F56" s="16"/>
      <c r="G56" s="17"/>
      <c r="H56" s="18">
        <f>ROUND(E56*$F$10,0)</f>
        <v>0</v>
      </c>
      <c r="I56" s="18">
        <f t="shared" si="11"/>
        <v>0</v>
      </c>
      <c r="J56" s="17">
        <f>I57</f>
        <v>0</v>
      </c>
    </row>
    <row r="57" spans="2:10" ht="13.5" thickBot="1">
      <c r="B57" s="16" t="s">
        <v>16</v>
      </c>
      <c r="C57" s="17">
        <f t="shared" si="9"/>
        <v>0</v>
      </c>
      <c r="D57" s="27"/>
      <c r="E57" s="18">
        <f t="shared" si="10"/>
        <v>0</v>
      </c>
      <c r="F57" s="16"/>
      <c r="G57" s="17"/>
      <c r="H57" s="19">
        <f>ROUND(E57*$F$11,0)</f>
        <v>0</v>
      </c>
      <c r="I57" s="18">
        <f t="shared" si="11"/>
        <v>0</v>
      </c>
      <c r="J57" s="17">
        <f>ROUND(((I52*$G$6)+(I53*$G$7)+(I54*$G$8))*0.5,0)</f>
        <v>0</v>
      </c>
    </row>
    <row r="58" spans="2:10" ht="13.5" thickTop="1">
      <c r="B58" s="16" t="s">
        <v>9</v>
      </c>
      <c r="C58" s="21">
        <f>SUM(C52:C57)</f>
        <v>0</v>
      </c>
      <c r="D58" s="21">
        <f>IF(SUM(D52:D57)&gt;SUM(C52:C57),SUM(C52:C57),SUM(D52:D57))</f>
        <v>0</v>
      </c>
      <c r="E58" s="21">
        <f>SUM(E52:E57)</f>
        <v>0</v>
      </c>
      <c r="F58" s="21"/>
      <c r="G58" s="21"/>
      <c r="H58" s="21">
        <f>SUM(H52:H57)</f>
        <v>0</v>
      </c>
      <c r="I58" s="21">
        <f>SUM(I52:I57)</f>
        <v>0</v>
      </c>
      <c r="J58" s="21">
        <f>SUM(J52:J57)</f>
        <v>0</v>
      </c>
    </row>
    <row r="59" spans="2:10" ht="12.75">
      <c r="B59" s="1"/>
      <c r="C59" s="32"/>
      <c r="D59" s="32"/>
      <c r="E59" s="31"/>
      <c r="F59" s="10"/>
      <c r="G59" s="32"/>
      <c r="H59" s="56"/>
      <c r="I59" s="55"/>
      <c r="J59" s="1"/>
    </row>
    <row r="60" spans="2:10" ht="12.75">
      <c r="B60" s="16"/>
      <c r="C60" s="16" t="s">
        <v>32</v>
      </c>
      <c r="D60" s="17" t="s">
        <v>5</v>
      </c>
      <c r="E60" s="16" t="s">
        <v>6</v>
      </c>
      <c r="F60" s="16"/>
      <c r="G60" s="16"/>
      <c r="H60" s="16" t="s">
        <v>7</v>
      </c>
      <c r="I60" s="16" t="s">
        <v>6</v>
      </c>
      <c r="J60" s="16" t="s">
        <v>33</v>
      </c>
    </row>
    <row r="61" spans="2:10" ht="12.75">
      <c r="B61" s="16" t="s">
        <v>11</v>
      </c>
      <c r="C61" s="17">
        <f aca="true" t="shared" si="12" ref="C61:C66">J52</f>
        <v>0</v>
      </c>
      <c r="D61" s="27"/>
      <c r="E61" s="18">
        <f aca="true" t="shared" si="13" ref="E61:E66">IF(C61&lt;D61,0,C61-D61)</f>
        <v>0</v>
      </c>
      <c r="F61" s="16"/>
      <c r="G61" s="17"/>
      <c r="H61" s="18">
        <f>IF($C$31=0,0,ROUND(E61*SUM('Age structure predictor'!$U$6:$U$12)*(1-'Age structure predictor'!$E$10)+E61*'Age structure predictor'!$U$13*(1-'Age structure predictor'!$L$10),0))</f>
        <v>0</v>
      </c>
      <c r="I61" s="18">
        <f aca="true" t="shared" si="14" ref="I61:I66">IF(E61&lt;H61,0,E61-H61)</f>
        <v>0</v>
      </c>
      <c r="J61" s="17">
        <f>I61+I62</f>
        <v>0</v>
      </c>
    </row>
    <row r="62" spans="2:10" ht="12.75">
      <c r="B62" s="16" t="s">
        <v>12</v>
      </c>
      <c r="C62" s="17">
        <f t="shared" si="12"/>
        <v>0</v>
      </c>
      <c r="D62" s="27"/>
      <c r="E62" s="18">
        <f t="shared" si="13"/>
        <v>0</v>
      </c>
      <c r="F62" s="16"/>
      <c r="G62" s="17"/>
      <c r="H62" s="18">
        <f>ROUND(E62*$F$7,0)</f>
        <v>0</v>
      </c>
      <c r="I62" s="18">
        <f t="shared" si="14"/>
        <v>0</v>
      </c>
      <c r="J62" s="17">
        <f>I63</f>
        <v>0</v>
      </c>
    </row>
    <row r="63" spans="2:10" ht="12.75">
      <c r="B63" s="16" t="s">
        <v>13</v>
      </c>
      <c r="C63" s="17">
        <f t="shared" si="12"/>
        <v>0</v>
      </c>
      <c r="D63" s="27"/>
      <c r="E63" s="18">
        <f t="shared" si="13"/>
        <v>0</v>
      </c>
      <c r="F63" s="16"/>
      <c r="G63" s="17"/>
      <c r="H63" s="18">
        <f>ROUND(E63*$F$8,0)</f>
        <v>0</v>
      </c>
      <c r="I63" s="18">
        <f t="shared" si="14"/>
        <v>0</v>
      </c>
      <c r="J63" s="17">
        <f>ROUND(((I61*$G$6)+(I62*$G$7)+(I63*$G$8))*0.5,0)</f>
        <v>0</v>
      </c>
    </row>
    <row r="64" spans="2:10" ht="12.75">
      <c r="B64" s="16" t="s">
        <v>14</v>
      </c>
      <c r="C64" s="17">
        <f t="shared" si="12"/>
        <v>0</v>
      </c>
      <c r="D64" s="27"/>
      <c r="E64" s="18">
        <f t="shared" si="13"/>
        <v>0</v>
      </c>
      <c r="F64" s="16"/>
      <c r="G64" s="17"/>
      <c r="H64" s="18">
        <f>IF($C$34=0,0,ROUND(E64*SUM('Age structure predictor'!$Q$6:$Q$12)*(1-'Age structure predictor'!$E$9)+E64*'Age structure predictor'!$Q$13*(1-'Age structure predictor'!$L$9),0))</f>
        <v>0</v>
      </c>
      <c r="I64" s="18">
        <f t="shared" si="14"/>
        <v>0</v>
      </c>
      <c r="J64" s="17">
        <f>I64+I65</f>
        <v>0</v>
      </c>
    </row>
    <row r="65" spans="2:10" ht="12.75">
      <c r="B65" s="16" t="s">
        <v>15</v>
      </c>
      <c r="C65" s="17">
        <f t="shared" si="12"/>
        <v>0</v>
      </c>
      <c r="D65" s="27"/>
      <c r="E65" s="18">
        <f t="shared" si="13"/>
        <v>0</v>
      </c>
      <c r="F65" s="16"/>
      <c r="G65" s="17"/>
      <c r="H65" s="18">
        <f>ROUND(E65*$F$10,0)</f>
        <v>0</v>
      </c>
      <c r="I65" s="18">
        <f t="shared" si="14"/>
        <v>0</v>
      </c>
      <c r="J65" s="17">
        <f>I66</f>
        <v>0</v>
      </c>
    </row>
    <row r="66" spans="2:10" ht="13.5" thickBot="1">
      <c r="B66" s="16" t="s">
        <v>16</v>
      </c>
      <c r="C66" s="17">
        <f t="shared" si="12"/>
        <v>0</v>
      </c>
      <c r="D66" s="27"/>
      <c r="E66" s="18">
        <f t="shared" si="13"/>
        <v>0</v>
      </c>
      <c r="F66" s="16"/>
      <c r="G66" s="17"/>
      <c r="H66" s="19">
        <f>ROUND(E66*$F$11,0)</f>
        <v>0</v>
      </c>
      <c r="I66" s="18">
        <f t="shared" si="14"/>
        <v>0</v>
      </c>
      <c r="J66" s="17">
        <f>ROUND(((I61*$G$6)+(I62*$G$7)+(I63*$G$8))*0.5,0)</f>
        <v>0</v>
      </c>
    </row>
    <row r="67" spans="2:10" ht="13.5" thickTop="1">
      <c r="B67" s="16" t="s">
        <v>9</v>
      </c>
      <c r="C67" s="21">
        <f>SUM(C61:C66)</f>
        <v>0</v>
      </c>
      <c r="D67" s="21">
        <f>IF(SUM(D61:D66)&gt;SUM(C61:C66),SUM(C61:C66),SUM(D61:D66))</f>
        <v>0</v>
      </c>
      <c r="E67" s="21">
        <f>SUM(E61:E66)</f>
        <v>0</v>
      </c>
      <c r="F67" s="21"/>
      <c r="G67" s="21"/>
      <c r="H67" s="21">
        <f>SUM(H61:H66)</f>
        <v>0</v>
      </c>
      <c r="I67" s="21">
        <f>SUM(I61:I66)</f>
        <v>0</v>
      </c>
      <c r="J67" s="21">
        <f>SUM(J61:J66)</f>
        <v>0</v>
      </c>
    </row>
    <row r="68" spans="2:10" ht="12.75">
      <c r="B68" s="1"/>
      <c r="C68" s="1"/>
      <c r="D68" s="1"/>
      <c r="E68" s="1"/>
      <c r="G68" s="1"/>
      <c r="H68" s="1"/>
      <c r="I68" s="1"/>
      <c r="J68" s="1"/>
    </row>
    <row r="69" spans="2:10" ht="12.75">
      <c r="B69" s="16"/>
      <c r="C69" s="16" t="s">
        <v>33</v>
      </c>
      <c r="D69" s="17" t="s">
        <v>5</v>
      </c>
      <c r="E69" s="16" t="s">
        <v>6</v>
      </c>
      <c r="F69" s="16"/>
      <c r="G69" s="16"/>
      <c r="H69" s="16" t="s">
        <v>7</v>
      </c>
      <c r="I69" s="16" t="s">
        <v>6</v>
      </c>
      <c r="J69" s="16" t="s">
        <v>34</v>
      </c>
    </row>
    <row r="70" spans="2:10" ht="12.75">
      <c r="B70" s="16" t="s">
        <v>11</v>
      </c>
      <c r="C70" s="17">
        <f aca="true" t="shared" si="15" ref="C70:C75">J61</f>
        <v>0</v>
      </c>
      <c r="D70" s="27"/>
      <c r="E70" s="18">
        <f aca="true" t="shared" si="16" ref="E70:E75">IF(C70&lt;D70,0,C70-D70)</f>
        <v>0</v>
      </c>
      <c r="F70" s="16"/>
      <c r="G70" s="17"/>
      <c r="H70" s="18">
        <f>IF($C$31=0,0,ROUND(E70*SUM('Age structure predictor'!$U$6:$U$12)*(1-'Age structure predictor'!$E$10)+E70*'Age structure predictor'!$U$13*(1-'Age structure predictor'!$L$10),0))</f>
        <v>0</v>
      </c>
      <c r="I70" s="18">
        <f aca="true" t="shared" si="17" ref="I70:I75">IF(E70&lt;H70,0,E70-H70)</f>
        <v>0</v>
      </c>
      <c r="J70" s="17">
        <f>I70+I71</f>
        <v>0</v>
      </c>
    </row>
    <row r="71" spans="2:10" ht="12.75">
      <c r="B71" s="16" t="s">
        <v>12</v>
      </c>
      <c r="C71" s="17">
        <f t="shared" si="15"/>
        <v>0</v>
      </c>
      <c r="D71" s="27"/>
      <c r="E71" s="18">
        <f t="shared" si="16"/>
        <v>0</v>
      </c>
      <c r="F71" s="16"/>
      <c r="G71" s="17"/>
      <c r="H71" s="18">
        <f>ROUND(E71*$F$7,0)</f>
        <v>0</v>
      </c>
      <c r="I71" s="18">
        <f t="shared" si="17"/>
        <v>0</v>
      </c>
      <c r="J71" s="17">
        <f>I72</f>
        <v>0</v>
      </c>
    </row>
    <row r="72" spans="2:10" ht="12.75">
      <c r="B72" s="16" t="s">
        <v>13</v>
      </c>
      <c r="C72" s="17">
        <f t="shared" si="15"/>
        <v>0</v>
      </c>
      <c r="D72" s="27"/>
      <c r="E72" s="18">
        <f t="shared" si="16"/>
        <v>0</v>
      </c>
      <c r="F72" s="16"/>
      <c r="G72" s="17"/>
      <c r="H72" s="18">
        <f>ROUND(E72*$F$8,0)</f>
        <v>0</v>
      </c>
      <c r="I72" s="18">
        <f t="shared" si="17"/>
        <v>0</v>
      </c>
      <c r="J72" s="17">
        <f>ROUND(((I70*$G$6)+(I71*$G$7)+(I72*$G$8))*0.5,0)</f>
        <v>0</v>
      </c>
    </row>
    <row r="73" spans="2:10" ht="12.75">
      <c r="B73" s="16" t="s">
        <v>14</v>
      </c>
      <c r="C73" s="17">
        <f t="shared" si="15"/>
        <v>0</v>
      </c>
      <c r="D73" s="27"/>
      <c r="E73" s="18">
        <f t="shared" si="16"/>
        <v>0</v>
      </c>
      <c r="F73" s="16"/>
      <c r="G73" s="17"/>
      <c r="H73" s="18">
        <f>IF($C$34=0,0,ROUND(E73*SUM('Age structure predictor'!$Q$6:$Q$12)*(1-'Age structure predictor'!$E$9)+E73*'Age structure predictor'!$Q$13*(1-'Age structure predictor'!$L$9),0))</f>
        <v>0</v>
      </c>
      <c r="I73" s="18">
        <f t="shared" si="17"/>
        <v>0</v>
      </c>
      <c r="J73" s="17">
        <f>I73+I74</f>
        <v>0</v>
      </c>
    </row>
    <row r="74" spans="2:10" ht="12.75">
      <c r="B74" s="16" t="s">
        <v>15</v>
      </c>
      <c r="C74" s="17">
        <f t="shared" si="15"/>
        <v>0</v>
      </c>
      <c r="D74" s="27"/>
      <c r="E74" s="18">
        <f t="shared" si="16"/>
        <v>0</v>
      </c>
      <c r="F74" s="16"/>
      <c r="G74" s="17"/>
      <c r="H74" s="18">
        <f>ROUND(E74*$F$10,0)</f>
        <v>0</v>
      </c>
      <c r="I74" s="18">
        <f t="shared" si="17"/>
        <v>0</v>
      </c>
      <c r="J74" s="17">
        <f>I75</f>
        <v>0</v>
      </c>
    </row>
    <row r="75" spans="2:10" ht="13.5" thickBot="1">
      <c r="B75" s="16" t="s">
        <v>16</v>
      </c>
      <c r="C75" s="17">
        <f t="shared" si="15"/>
        <v>0</v>
      </c>
      <c r="D75" s="27"/>
      <c r="E75" s="18">
        <f t="shared" si="16"/>
        <v>0</v>
      </c>
      <c r="F75" s="16"/>
      <c r="G75" s="17"/>
      <c r="H75" s="19">
        <f>ROUND(E75*$F$11,0)</f>
        <v>0</v>
      </c>
      <c r="I75" s="18">
        <f t="shared" si="17"/>
        <v>0</v>
      </c>
      <c r="J75" s="17">
        <f>ROUND(((I70*$G$6)+(I71*$G$7)+(I72*$G$8))*0.5,0)</f>
        <v>0</v>
      </c>
    </row>
    <row r="76" spans="2:10" ht="13.5" thickTop="1">
      <c r="B76" s="16" t="s">
        <v>9</v>
      </c>
      <c r="C76" s="21">
        <f>SUM(C70:C75)</f>
        <v>0</v>
      </c>
      <c r="D76" s="21">
        <f>IF(SUM(D70:D75)&gt;SUM(C70:C75),SUM(C70:C75),SUM(D70:D75))</f>
        <v>0</v>
      </c>
      <c r="E76" s="21">
        <f>SUM(E70:E75)</f>
        <v>0</v>
      </c>
      <c r="F76" s="21"/>
      <c r="G76" s="21"/>
      <c r="H76" s="21">
        <f>SUM(H70:H75)</f>
        <v>0</v>
      </c>
      <c r="I76" s="21">
        <f>SUM(I70:I75)</f>
        <v>0</v>
      </c>
      <c r="J76" s="21">
        <f>SUM(J70:J75)</f>
        <v>0</v>
      </c>
    </row>
  </sheetData>
  <sheetProtection password="8E21" sheet="1" objects="1" scenarios="1" selectLockedCells="1"/>
  <mergeCells count="5">
    <mergeCell ref="B1:N2"/>
    <mergeCell ref="B17:D18"/>
    <mergeCell ref="I5:N5"/>
    <mergeCell ref="B21:C26"/>
    <mergeCell ref="B19:D20"/>
  </mergeCells>
  <dataValidations count="1">
    <dataValidation type="whole" allowBlank="1" showInputMessage="1" showErrorMessage="1" error="Must be whole, positive number" sqref="C31:D36 E17 D43:D48 D52:D57 D61:D66 D70:D75">
      <formula1>0</formula1>
      <formula2>10000</formula2>
    </dataValidation>
  </dataValidations>
  <printOptions/>
  <pageMargins left="0.75" right="0.75" top="0.32" bottom="1" header="0.25" footer="0.5"/>
  <pageSetup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1"/>
  <dimension ref="A1:A1"/>
  <sheetViews>
    <sheetView showGridLines="0" tabSelected="1" workbookViewId="0" topLeftCell="A1">
      <selection activeCell="K10" sqref="K10"/>
    </sheetView>
  </sheetViews>
  <sheetFormatPr defaultColWidth="9.140625" defaultRowHeight="12.75"/>
  <sheetData/>
  <sheetProtection password="8E21" sheet="1" objects="1" scenarios="1" selectLockedCells="1" selectUnlockedCells="1"/>
  <printOptions/>
  <pageMargins left="0.75" right="0.75" top="1" bottom="1" header="0.5" footer="0.5"/>
  <pageSetup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B1:V52"/>
  <sheetViews>
    <sheetView workbookViewId="0" topLeftCell="A1">
      <selection activeCell="C9" sqref="C9"/>
    </sheetView>
  </sheetViews>
  <sheetFormatPr defaultColWidth="9.140625" defaultRowHeight="12.75"/>
  <cols>
    <col min="3" max="3" width="8.00390625" style="0" customWidth="1"/>
    <col min="4" max="4" width="7.140625" style="0" customWidth="1"/>
    <col min="5" max="5" width="5.7109375" style="0" customWidth="1"/>
    <col min="6" max="6" width="6.00390625" style="0" customWidth="1"/>
    <col min="7" max="7" width="10.7109375" style="0" customWidth="1"/>
    <col min="8" max="8" width="6.28125" style="0" customWidth="1"/>
    <col min="9" max="9" width="7.00390625" style="0" customWidth="1"/>
    <col min="10" max="10" width="6.140625" style="0" customWidth="1"/>
    <col min="11" max="12" width="5.8515625" style="0" customWidth="1"/>
    <col min="13" max="13" width="12.140625" style="0" customWidth="1"/>
    <col min="15" max="15" width="12.421875" style="0" bestFit="1" customWidth="1"/>
    <col min="17" max="17" width="11.140625" style="0" customWidth="1"/>
    <col min="18" max="18" width="12.421875" style="0" bestFit="1" customWidth="1"/>
    <col min="19" max="19" width="12.421875" style="0" customWidth="1"/>
    <col min="21" max="21" width="13.421875" style="0" customWidth="1"/>
  </cols>
  <sheetData>
    <row r="1" spans="3:7" ht="12.75">
      <c r="C1" s="50" t="s">
        <v>77</v>
      </c>
      <c r="D1" s="51"/>
      <c r="E1" s="51"/>
      <c r="F1" s="51"/>
      <c r="G1" s="52"/>
    </row>
    <row r="2" spans="2:20" ht="12.75">
      <c r="B2" s="37" t="s">
        <v>14</v>
      </c>
      <c r="C2" s="37"/>
      <c r="D2" s="37"/>
      <c r="E2" s="37"/>
      <c r="F2" s="37" t="s">
        <v>11</v>
      </c>
      <c r="O2" s="37" t="s">
        <v>14</v>
      </c>
      <c r="P2" s="37"/>
      <c r="Q2" s="37"/>
      <c r="R2" s="37" t="s">
        <v>11</v>
      </c>
      <c r="S2" s="37"/>
      <c r="T2" s="37"/>
    </row>
    <row r="3" spans="2:22" ht="69.75" customHeight="1">
      <c r="B3" s="37" t="s">
        <v>40</v>
      </c>
      <c r="D3" s="36">
        <f>Model!C34+Model!C35</f>
        <v>0</v>
      </c>
      <c r="F3" s="37" t="s">
        <v>40</v>
      </c>
      <c r="H3" s="36">
        <f>Model!C31+Model!C32</f>
        <v>0</v>
      </c>
      <c r="N3" s="37" t="s">
        <v>41</v>
      </c>
      <c r="O3" s="38" t="s">
        <v>63</v>
      </c>
      <c r="P3" s="37" t="s">
        <v>42</v>
      </c>
      <c r="Q3" s="38" t="s">
        <v>62</v>
      </c>
      <c r="R3" s="38" t="s">
        <v>63</v>
      </c>
      <c r="S3" s="38" t="s">
        <v>60</v>
      </c>
      <c r="T3" s="37" t="s">
        <v>42</v>
      </c>
      <c r="U3" s="38" t="s">
        <v>61</v>
      </c>
      <c r="V3" s="37" t="s">
        <v>41</v>
      </c>
    </row>
    <row r="4" spans="2:20" ht="12.75">
      <c r="B4" s="37" t="s">
        <v>43</v>
      </c>
      <c r="D4" s="36">
        <v>0.2</v>
      </c>
      <c r="F4" s="37" t="s">
        <v>43</v>
      </c>
      <c r="H4" s="36">
        <v>0.2</v>
      </c>
      <c r="N4" s="39" t="s">
        <v>57</v>
      </c>
      <c r="O4" s="40">
        <v>1</v>
      </c>
      <c r="P4" s="40"/>
      <c r="Q4" s="40"/>
      <c r="R4" s="40">
        <v>1</v>
      </c>
      <c r="S4" s="40"/>
      <c r="T4" s="40"/>
    </row>
    <row r="5" spans="14:22" ht="12.75">
      <c r="N5" s="41">
        <v>1</v>
      </c>
      <c r="O5" s="40">
        <f>O4*(1-D4)*C9</f>
        <v>0.8</v>
      </c>
      <c r="P5" s="42">
        <f aca="true" t="shared" si="0" ref="P5:P12">$D$3*(O5/$O$20)</f>
        <v>0</v>
      </c>
      <c r="Q5" s="53"/>
      <c r="R5" s="40">
        <f>$R4*(1-$H$4)*C$10</f>
        <v>0.8</v>
      </c>
      <c r="S5" s="40"/>
      <c r="T5" s="42">
        <f aca="true" t="shared" si="1" ref="T5:T12">$H$3*(R5/$R$20)</f>
        <v>0</v>
      </c>
      <c r="U5" s="53"/>
      <c r="V5">
        <v>1</v>
      </c>
    </row>
    <row r="6" spans="3:22" ht="12.75">
      <c r="C6" s="37"/>
      <c r="N6" s="41">
        <v>2</v>
      </c>
      <c r="O6" s="40">
        <f>O5*(1-D4)*D9</f>
        <v>0.6400000000000001</v>
      </c>
      <c r="P6" s="42">
        <f t="shared" si="0"/>
        <v>0</v>
      </c>
      <c r="Q6" s="53" t="e">
        <f>P6/SUM($P$6:$P$13)</f>
        <v>#DIV/0!</v>
      </c>
      <c r="R6" s="40">
        <f>$R5*(1-$H$4)*D$10</f>
        <v>0.6400000000000001</v>
      </c>
      <c r="S6" s="40">
        <v>0.05</v>
      </c>
      <c r="T6" s="42">
        <f t="shared" si="1"/>
        <v>0</v>
      </c>
      <c r="U6" s="53" t="e">
        <f>T6/SUM($T$6:$T$13)</f>
        <v>#DIV/0!</v>
      </c>
      <c r="V6">
        <v>2</v>
      </c>
    </row>
    <row r="7" spans="3:22" ht="12.75">
      <c r="C7" s="37" t="s">
        <v>44</v>
      </c>
      <c r="N7" s="41">
        <v>3</v>
      </c>
      <c r="O7" s="40">
        <f>O6*(1-D4)*E9</f>
        <v>0.5120000000000001</v>
      </c>
      <c r="P7" s="42">
        <f t="shared" si="0"/>
        <v>0</v>
      </c>
      <c r="Q7" s="53" t="e">
        <f aca="true" t="shared" si="2" ref="Q7:Q13">P7/SUM($P$6:$P$13)</f>
        <v>#DIV/0!</v>
      </c>
      <c r="R7" s="40">
        <f>$R6*(1-$H$4)*E$10</f>
        <v>0.5120000000000001</v>
      </c>
      <c r="S7" s="40">
        <v>0.02</v>
      </c>
      <c r="T7" s="42">
        <f t="shared" si="1"/>
        <v>0</v>
      </c>
      <c r="U7" s="53" t="e">
        <f aca="true" t="shared" si="3" ref="U7:U13">T7/SUM($T$6:$T$13)</f>
        <v>#DIV/0!</v>
      </c>
      <c r="V7">
        <v>3</v>
      </c>
    </row>
    <row r="8" spans="2:22" ht="12.75">
      <c r="B8" s="37" t="s">
        <v>41</v>
      </c>
      <c r="C8" s="44" t="s">
        <v>57</v>
      </c>
      <c r="D8">
        <v>1</v>
      </c>
      <c r="E8">
        <v>2</v>
      </c>
      <c r="F8">
        <v>3</v>
      </c>
      <c r="G8">
        <v>4</v>
      </c>
      <c r="H8">
        <v>5</v>
      </c>
      <c r="I8">
        <v>6</v>
      </c>
      <c r="J8">
        <v>7</v>
      </c>
      <c r="K8">
        <v>8</v>
      </c>
      <c r="L8" s="45" t="s">
        <v>45</v>
      </c>
      <c r="N8" s="41">
        <v>4</v>
      </c>
      <c r="O8" s="40">
        <f>O7*(1-D4)*F9</f>
        <v>0.40960000000000013</v>
      </c>
      <c r="P8" s="42">
        <f t="shared" si="0"/>
        <v>0</v>
      </c>
      <c r="Q8" s="53" t="e">
        <f t="shared" si="2"/>
        <v>#DIV/0!</v>
      </c>
      <c r="R8" s="40">
        <f>$R7*(1-$H$4)*F$10</f>
        <v>0.40960000000000013</v>
      </c>
      <c r="S8" s="40">
        <v>0.02</v>
      </c>
      <c r="T8" s="42">
        <f t="shared" si="1"/>
        <v>0</v>
      </c>
      <c r="U8" s="53" t="e">
        <f t="shared" si="3"/>
        <v>#DIV/0!</v>
      </c>
      <c r="V8">
        <v>4</v>
      </c>
    </row>
    <row r="9" spans="2:22" ht="12.75">
      <c r="B9" s="37" t="s">
        <v>14</v>
      </c>
      <c r="C9" s="36">
        <f>1-Model!F11</f>
        <v>1</v>
      </c>
      <c r="D9" s="36">
        <f>1-Model!F10</f>
        <v>1</v>
      </c>
      <c r="E9" s="36">
        <f>1-Model!F9</f>
        <v>1</v>
      </c>
      <c r="F9" s="36">
        <f>E9</f>
        <v>1</v>
      </c>
      <c r="G9" s="36">
        <f aca="true" t="shared" si="4" ref="G9:K10">F9</f>
        <v>1</v>
      </c>
      <c r="H9" s="36">
        <f t="shared" si="4"/>
        <v>1</v>
      </c>
      <c r="I9" s="36">
        <f t="shared" si="4"/>
        <v>1</v>
      </c>
      <c r="J9" s="36">
        <f t="shared" si="4"/>
        <v>1</v>
      </c>
      <c r="K9" s="36">
        <f t="shared" si="4"/>
        <v>1</v>
      </c>
      <c r="L9" s="36">
        <v>0.2</v>
      </c>
      <c r="N9" s="41">
        <v>5</v>
      </c>
      <c r="O9" s="40">
        <f>O8*(1-D4)*G9</f>
        <v>0.32768000000000014</v>
      </c>
      <c r="P9" s="42">
        <f t="shared" si="0"/>
        <v>0</v>
      </c>
      <c r="Q9" s="53" t="e">
        <f t="shared" si="2"/>
        <v>#DIV/0!</v>
      </c>
      <c r="R9" s="40">
        <f>$R8*(1-$H$4)*G$10</f>
        <v>0.32768000000000014</v>
      </c>
      <c r="S9" s="40">
        <v>0.02</v>
      </c>
      <c r="T9" s="42">
        <f t="shared" si="1"/>
        <v>0</v>
      </c>
      <c r="U9" s="53" t="e">
        <f t="shared" si="3"/>
        <v>#DIV/0!</v>
      </c>
      <c r="V9">
        <v>5</v>
      </c>
    </row>
    <row r="10" spans="2:22" ht="12.75">
      <c r="B10" s="37" t="s">
        <v>11</v>
      </c>
      <c r="C10" s="36">
        <f>1-Model!F8</f>
        <v>1</v>
      </c>
      <c r="D10" s="36">
        <f>1-Model!F7</f>
        <v>1</v>
      </c>
      <c r="E10" s="36">
        <f>1-Model!F6</f>
        <v>1</v>
      </c>
      <c r="F10" s="36">
        <f>E10</f>
        <v>1</v>
      </c>
      <c r="G10" s="36">
        <f t="shared" si="4"/>
        <v>1</v>
      </c>
      <c r="H10" s="36">
        <f t="shared" si="4"/>
        <v>1</v>
      </c>
      <c r="I10" s="36">
        <f t="shared" si="4"/>
        <v>1</v>
      </c>
      <c r="J10" s="36">
        <f t="shared" si="4"/>
        <v>1</v>
      </c>
      <c r="K10" s="36">
        <f t="shared" si="4"/>
        <v>1</v>
      </c>
      <c r="L10" s="36">
        <v>0.2</v>
      </c>
      <c r="N10" s="41">
        <v>6</v>
      </c>
      <c r="O10" s="40">
        <f>O9*(1-D4)*H9</f>
        <v>0.2621440000000001</v>
      </c>
      <c r="P10" s="42">
        <f t="shared" si="0"/>
        <v>0</v>
      </c>
      <c r="Q10" s="53" t="e">
        <f t="shared" si="2"/>
        <v>#DIV/0!</v>
      </c>
      <c r="R10" s="40">
        <f>$R9*(1-$H$4)*H$10</f>
        <v>0.2621440000000001</v>
      </c>
      <c r="S10" s="40">
        <v>0.02</v>
      </c>
      <c r="T10" s="42">
        <f t="shared" si="1"/>
        <v>0</v>
      </c>
      <c r="U10" s="53" t="e">
        <f t="shared" si="3"/>
        <v>#DIV/0!</v>
      </c>
      <c r="V10">
        <v>6</v>
      </c>
    </row>
    <row r="11" spans="14:22" ht="12.75">
      <c r="N11" s="41">
        <v>7</v>
      </c>
      <c r="O11" s="40">
        <f>O10*(1-D4)*I9</f>
        <v>0.2097152000000001</v>
      </c>
      <c r="P11" s="42">
        <f t="shared" si="0"/>
        <v>0</v>
      </c>
      <c r="Q11" s="53" t="e">
        <f t="shared" si="2"/>
        <v>#DIV/0!</v>
      </c>
      <c r="R11" s="40">
        <f>$R10*(1-$H$4)*I$10</f>
        <v>0.2097152000000001</v>
      </c>
      <c r="S11" s="40">
        <v>0.02</v>
      </c>
      <c r="T11" s="42">
        <f t="shared" si="1"/>
        <v>0</v>
      </c>
      <c r="U11" s="53" t="e">
        <f t="shared" si="3"/>
        <v>#DIV/0!</v>
      </c>
      <c r="V11">
        <v>7</v>
      </c>
    </row>
    <row r="12" spans="14:22" ht="12.75">
      <c r="N12" s="41">
        <v>8</v>
      </c>
      <c r="O12" s="40">
        <f>O11*(1-D4)*J9</f>
        <v>0.1677721600000001</v>
      </c>
      <c r="P12" s="42">
        <f t="shared" si="0"/>
        <v>0</v>
      </c>
      <c r="Q12" s="53" t="e">
        <f t="shared" si="2"/>
        <v>#DIV/0!</v>
      </c>
      <c r="R12" s="40">
        <f>$R11*(1-$H$4)*J$10</f>
        <v>0.1677721600000001</v>
      </c>
      <c r="S12" s="40">
        <v>0.02</v>
      </c>
      <c r="T12" s="42">
        <f t="shared" si="1"/>
        <v>0</v>
      </c>
      <c r="U12" s="53" t="e">
        <f t="shared" si="3"/>
        <v>#DIV/0!</v>
      </c>
      <c r="V12">
        <v>8</v>
      </c>
    </row>
    <row r="13" spans="2:22" ht="12.75">
      <c r="B13" s="37" t="s">
        <v>49</v>
      </c>
      <c r="N13" s="41" t="s">
        <v>46</v>
      </c>
      <c r="O13" s="40">
        <f>O12*(1-D4)*K9</f>
        <v>0.13421772800000006</v>
      </c>
      <c r="P13" s="42">
        <f>$D$3*(SUM(O13:O19)/$O$20)</f>
        <v>0</v>
      </c>
      <c r="Q13" s="53" t="e">
        <f t="shared" si="2"/>
        <v>#DIV/0!</v>
      </c>
      <c r="R13" s="40">
        <f>$R12*(1-$H$4)*K$10</f>
        <v>0.13421772800000006</v>
      </c>
      <c r="S13" s="40">
        <v>0.2</v>
      </c>
      <c r="T13" s="42">
        <f>$H$3*(SUM(R13:R19)/$R$20)</f>
        <v>0</v>
      </c>
      <c r="U13" s="53" t="e">
        <f t="shared" si="3"/>
        <v>#DIV/0!</v>
      </c>
      <c r="V13" s="45" t="s">
        <v>45</v>
      </c>
    </row>
    <row r="14" spans="2:20" ht="12.75">
      <c r="B14" s="37" t="s">
        <v>50</v>
      </c>
      <c r="C14" s="46"/>
      <c r="N14" s="41">
        <v>10</v>
      </c>
      <c r="O14" s="40">
        <f>O13*(1-D4)*L9</f>
        <v>0.021474836480000013</v>
      </c>
      <c r="P14" s="40"/>
      <c r="Q14" s="40"/>
      <c r="R14" s="40">
        <f aca="true" t="shared" si="5" ref="R14:R19">$R13*(1-$H$4)*L$10</f>
        <v>0.021474836480000013</v>
      </c>
      <c r="S14" s="40"/>
      <c r="T14" s="40"/>
    </row>
    <row r="15" spans="2:21" ht="12.75">
      <c r="B15" s="37" t="s">
        <v>51</v>
      </c>
      <c r="C15" s="46"/>
      <c r="N15" s="41">
        <v>11</v>
      </c>
      <c r="O15" s="40">
        <f>O14*(1-D4)*L9</f>
        <v>0.0034359738368000023</v>
      </c>
      <c r="P15" s="40"/>
      <c r="Q15" s="40"/>
      <c r="R15" s="40">
        <f t="shared" si="5"/>
        <v>0.0034359738368000023</v>
      </c>
      <c r="S15" s="40"/>
      <c r="T15" s="40"/>
      <c r="U15" s="43"/>
    </row>
    <row r="16" spans="2:20" ht="12.75">
      <c r="B16" s="37" t="s">
        <v>52</v>
      </c>
      <c r="C16" s="46"/>
      <c r="N16" s="41">
        <v>12</v>
      </c>
      <c r="O16" s="40">
        <f>O15*(1-D4)*L9</f>
        <v>0.0005497558138880005</v>
      </c>
      <c r="P16" s="40"/>
      <c r="Q16" s="40"/>
      <c r="R16" s="40">
        <f t="shared" si="5"/>
        <v>0.0005497558138880005</v>
      </c>
      <c r="S16" s="40"/>
      <c r="T16" s="40"/>
    </row>
    <row r="17" spans="2:20" ht="12.75">
      <c r="B17" s="37" t="s">
        <v>66</v>
      </c>
      <c r="C17" s="46"/>
      <c r="N17" s="41">
        <v>13</v>
      </c>
      <c r="O17" s="40">
        <f>O16*(1-D4)*L9</f>
        <v>8.796093022208009E-05</v>
      </c>
      <c r="P17" s="40"/>
      <c r="Q17" s="40"/>
      <c r="R17" s="40">
        <f t="shared" si="5"/>
        <v>8.796093022208009E-05</v>
      </c>
      <c r="S17" s="40"/>
      <c r="T17" s="40"/>
    </row>
    <row r="18" spans="2:20" ht="12.75">
      <c r="B18" s="37" t="s">
        <v>64</v>
      </c>
      <c r="N18" s="41">
        <v>14</v>
      </c>
      <c r="O18" s="40">
        <f>O17*(1-D4)*L9</f>
        <v>1.4073748835532815E-05</v>
      </c>
      <c r="P18" s="40"/>
      <c r="Q18" s="40"/>
      <c r="R18" s="40">
        <f t="shared" si="5"/>
        <v>1.4073748835532815E-05</v>
      </c>
      <c r="S18" s="40"/>
      <c r="T18" s="40"/>
    </row>
    <row r="19" spans="2:20" ht="12.75">
      <c r="B19" s="37" t="s">
        <v>65</v>
      </c>
      <c r="N19" s="47">
        <v>15</v>
      </c>
      <c r="O19" s="48">
        <f>O18*(1-D4)*L9</f>
        <v>2.2517998136852508E-06</v>
      </c>
      <c r="P19" s="48"/>
      <c r="Q19" s="48"/>
      <c r="R19" s="48">
        <f t="shared" si="5"/>
        <v>2.2517998136852508E-06</v>
      </c>
      <c r="S19" s="48"/>
      <c r="T19" s="48"/>
    </row>
    <row r="20" spans="14:21" ht="12.75">
      <c r="N20" s="41" t="s">
        <v>47</v>
      </c>
      <c r="O20" s="40">
        <f>SUM(O5:O19)</f>
        <v>3.4886939406095605</v>
      </c>
      <c r="P20" s="49">
        <f>SUM(P5:P13)</f>
        <v>0</v>
      </c>
      <c r="Q20" s="49" t="e">
        <f>SUM(Q6:Q13)</f>
        <v>#DIV/0!</v>
      </c>
      <c r="R20" s="40">
        <f>SUM(R5:R19)</f>
        <v>3.4886939406095605</v>
      </c>
      <c r="S20" s="40"/>
      <c r="T20" s="49">
        <f>SUM(T5:T13)</f>
        <v>0</v>
      </c>
      <c r="U20" s="49" t="e">
        <f>SUM(U6:U13)</f>
        <v>#DIV/0!</v>
      </c>
    </row>
    <row r="21" ht="12.75">
      <c r="B21" s="37" t="s">
        <v>53</v>
      </c>
    </row>
    <row r="22" ht="12.75">
      <c r="B22" s="37" t="s">
        <v>54</v>
      </c>
    </row>
    <row r="23" ht="12.75">
      <c r="B23" s="37" t="s">
        <v>55</v>
      </c>
    </row>
    <row r="24" spans="2:13" ht="12.75">
      <c r="B24" s="37" t="s">
        <v>56</v>
      </c>
      <c r="M24" s="37"/>
    </row>
    <row r="28" spans="3:7" ht="12.75">
      <c r="C28" s="50" t="s">
        <v>76</v>
      </c>
      <c r="D28" s="51"/>
      <c r="E28" s="51"/>
      <c r="F28" s="51"/>
      <c r="G28" s="52"/>
    </row>
    <row r="29" spans="2:20" ht="12.75">
      <c r="B29" s="37" t="s">
        <v>14</v>
      </c>
      <c r="C29" s="37"/>
      <c r="D29" s="37"/>
      <c r="E29" s="37"/>
      <c r="F29" s="37" t="s">
        <v>11</v>
      </c>
      <c r="O29" s="37" t="s">
        <v>14</v>
      </c>
      <c r="P29" s="37"/>
      <c r="Q29" s="37"/>
      <c r="R29" s="37" t="s">
        <v>11</v>
      </c>
      <c r="S29" s="37"/>
      <c r="T29" s="37"/>
    </row>
    <row r="30" spans="2:22" ht="76.5">
      <c r="B30" s="37" t="s">
        <v>40</v>
      </c>
      <c r="D30" s="36" t="e">
        <f>Model!E17/Model!E19</f>
        <v>#DIV/0!</v>
      </c>
      <c r="F30" s="37" t="s">
        <v>40</v>
      </c>
      <c r="H30" s="36">
        <f>Model!E17</f>
        <v>0</v>
      </c>
      <c r="N30" s="37" t="s">
        <v>41</v>
      </c>
      <c r="O30" s="38" t="s">
        <v>63</v>
      </c>
      <c r="P30" s="37" t="s">
        <v>42</v>
      </c>
      <c r="Q30" s="38" t="s">
        <v>62</v>
      </c>
      <c r="R30" s="38" t="s">
        <v>63</v>
      </c>
      <c r="S30" s="38" t="s">
        <v>60</v>
      </c>
      <c r="T30" s="37" t="s">
        <v>42</v>
      </c>
      <c r="U30" s="38" t="s">
        <v>61</v>
      </c>
      <c r="V30" s="37" t="s">
        <v>41</v>
      </c>
    </row>
    <row r="31" spans="2:20" ht="12.75">
      <c r="B31" s="37" t="s">
        <v>43</v>
      </c>
      <c r="D31" s="36">
        <v>0.2</v>
      </c>
      <c r="F31" s="37" t="s">
        <v>43</v>
      </c>
      <c r="H31" s="36">
        <v>0.2</v>
      </c>
      <c r="N31" s="39" t="s">
        <v>57</v>
      </c>
      <c r="O31" s="40">
        <v>1</v>
      </c>
      <c r="P31" s="40"/>
      <c r="Q31" s="40"/>
      <c r="R31" s="40">
        <v>1</v>
      </c>
      <c r="S31" s="40"/>
      <c r="T31" s="40"/>
    </row>
    <row r="32" spans="14:22" ht="12.75">
      <c r="N32" s="41">
        <v>1</v>
      </c>
      <c r="O32" s="40">
        <f>O31*(1-D31)*C36</f>
        <v>0.8</v>
      </c>
      <c r="P32" s="42" t="e">
        <f>$D$30*(O32/$O$47)</f>
        <v>#DIV/0!</v>
      </c>
      <c r="Q32" s="53"/>
      <c r="R32" s="40">
        <f>$R31*(1-$H$4)*C$10</f>
        <v>0.8</v>
      </c>
      <c r="S32" s="40"/>
      <c r="T32" s="42">
        <f>$H$30*(R32/$R$47)</f>
        <v>0</v>
      </c>
      <c r="U32" s="53"/>
      <c r="V32">
        <v>1</v>
      </c>
    </row>
    <row r="33" spans="3:22" ht="12.75">
      <c r="C33" s="37"/>
      <c r="N33" s="41">
        <v>2</v>
      </c>
      <c r="O33" s="40">
        <f>O32*(1-D31)*D36</f>
        <v>0.6400000000000001</v>
      </c>
      <c r="P33" s="42" t="e">
        <f aca="true" t="shared" si="6" ref="P33:P39">$D$30*(O33/$O$47)</f>
        <v>#DIV/0!</v>
      </c>
      <c r="Q33" s="53" t="e">
        <f>P33/SUM($P$33:$P$40)</f>
        <v>#DIV/0!</v>
      </c>
      <c r="R33" s="40">
        <f>$R32*(1-$H$4)*D$10</f>
        <v>0.6400000000000001</v>
      </c>
      <c r="S33" s="40">
        <v>0.05</v>
      </c>
      <c r="T33" s="42">
        <f aca="true" t="shared" si="7" ref="T33:T39">$H$30*(R33/$R$47)</f>
        <v>0</v>
      </c>
      <c r="U33" s="53" t="e">
        <f>T33/SUM($T$33:$T$40)</f>
        <v>#DIV/0!</v>
      </c>
      <c r="V33">
        <v>2</v>
      </c>
    </row>
    <row r="34" spans="3:22" ht="12.75">
      <c r="C34" s="37" t="s">
        <v>44</v>
      </c>
      <c r="N34" s="41">
        <v>3</v>
      </c>
      <c r="O34" s="40">
        <f>O33*(1-D31)*E36</f>
        <v>0.5120000000000001</v>
      </c>
      <c r="P34" s="42" t="e">
        <f t="shared" si="6"/>
        <v>#DIV/0!</v>
      </c>
      <c r="Q34" s="53" t="e">
        <f aca="true" t="shared" si="8" ref="Q34:Q40">P34/SUM($P$33:$P$40)</f>
        <v>#DIV/0!</v>
      </c>
      <c r="R34" s="40">
        <f>$R33*(1-$H$4)*E$10</f>
        <v>0.5120000000000001</v>
      </c>
      <c r="S34" s="40">
        <v>0.02</v>
      </c>
      <c r="T34" s="42">
        <f t="shared" si="7"/>
        <v>0</v>
      </c>
      <c r="U34" s="53" t="e">
        <f aca="true" t="shared" si="9" ref="U34:U40">T34/SUM($T$33:$T$40)</f>
        <v>#DIV/0!</v>
      </c>
      <c r="V34">
        <v>3</v>
      </c>
    </row>
    <row r="35" spans="2:22" ht="12.75">
      <c r="B35" s="37" t="s">
        <v>41</v>
      </c>
      <c r="C35" s="44" t="s">
        <v>57</v>
      </c>
      <c r="D35">
        <v>1</v>
      </c>
      <c r="E35">
        <v>2</v>
      </c>
      <c r="F35">
        <v>3</v>
      </c>
      <c r="G35">
        <v>4</v>
      </c>
      <c r="H35">
        <v>5</v>
      </c>
      <c r="I35">
        <v>6</v>
      </c>
      <c r="J35">
        <v>7</v>
      </c>
      <c r="K35">
        <v>8</v>
      </c>
      <c r="L35" s="45" t="s">
        <v>45</v>
      </c>
      <c r="N35" s="41">
        <v>4</v>
      </c>
      <c r="O35" s="40">
        <f>O34*(1-D31)*F36</f>
        <v>0.40960000000000013</v>
      </c>
      <c r="P35" s="42" t="e">
        <f t="shared" si="6"/>
        <v>#DIV/0!</v>
      </c>
      <c r="Q35" s="53" t="e">
        <f t="shared" si="8"/>
        <v>#DIV/0!</v>
      </c>
      <c r="R35" s="40">
        <f>$R34*(1-$H$4)*F$10</f>
        <v>0.40960000000000013</v>
      </c>
      <c r="S35" s="40">
        <v>0.02</v>
      </c>
      <c r="T35" s="42">
        <f t="shared" si="7"/>
        <v>0</v>
      </c>
      <c r="U35" s="53" t="e">
        <f t="shared" si="9"/>
        <v>#DIV/0!</v>
      </c>
      <c r="V35">
        <v>4</v>
      </c>
    </row>
    <row r="36" spans="2:22" ht="12.75">
      <c r="B36" s="37" t="s">
        <v>14</v>
      </c>
      <c r="C36" s="36">
        <f>C9</f>
        <v>1</v>
      </c>
      <c r="D36" s="36">
        <f aca="true" t="shared" si="10" ref="D36:L37">D9</f>
        <v>1</v>
      </c>
      <c r="E36" s="36">
        <f t="shared" si="10"/>
        <v>1</v>
      </c>
      <c r="F36" s="36">
        <f t="shared" si="10"/>
        <v>1</v>
      </c>
      <c r="G36" s="36">
        <f t="shared" si="10"/>
        <v>1</v>
      </c>
      <c r="H36" s="36">
        <f t="shared" si="10"/>
        <v>1</v>
      </c>
      <c r="I36" s="36">
        <f t="shared" si="10"/>
        <v>1</v>
      </c>
      <c r="J36" s="36">
        <f t="shared" si="10"/>
        <v>1</v>
      </c>
      <c r="K36" s="36">
        <f t="shared" si="10"/>
        <v>1</v>
      </c>
      <c r="L36" s="36">
        <f t="shared" si="10"/>
        <v>0.2</v>
      </c>
      <c r="N36" s="41">
        <v>5</v>
      </c>
      <c r="O36" s="40">
        <f>O35*(1-D31)*G36</f>
        <v>0.32768000000000014</v>
      </c>
      <c r="P36" s="42" t="e">
        <f t="shared" si="6"/>
        <v>#DIV/0!</v>
      </c>
      <c r="Q36" s="53" t="e">
        <f t="shared" si="8"/>
        <v>#DIV/0!</v>
      </c>
      <c r="R36" s="40">
        <f>$R35*(1-$H$4)*G$10</f>
        <v>0.32768000000000014</v>
      </c>
      <c r="S36" s="40">
        <v>0.02</v>
      </c>
      <c r="T36" s="42">
        <f t="shared" si="7"/>
        <v>0</v>
      </c>
      <c r="U36" s="53" t="e">
        <f t="shared" si="9"/>
        <v>#DIV/0!</v>
      </c>
      <c r="V36">
        <v>5</v>
      </c>
    </row>
    <row r="37" spans="2:22" ht="12.75">
      <c r="B37" s="37" t="s">
        <v>11</v>
      </c>
      <c r="C37" s="36">
        <f>C10</f>
        <v>1</v>
      </c>
      <c r="D37" s="36">
        <f t="shared" si="10"/>
        <v>1</v>
      </c>
      <c r="E37" s="36">
        <f t="shared" si="10"/>
        <v>1</v>
      </c>
      <c r="F37" s="36">
        <f t="shared" si="10"/>
        <v>1</v>
      </c>
      <c r="G37" s="36">
        <f t="shared" si="10"/>
        <v>1</v>
      </c>
      <c r="H37" s="36">
        <f t="shared" si="10"/>
        <v>1</v>
      </c>
      <c r="I37" s="36">
        <f t="shared" si="10"/>
        <v>1</v>
      </c>
      <c r="J37" s="36">
        <f t="shared" si="10"/>
        <v>1</v>
      </c>
      <c r="K37" s="36">
        <f t="shared" si="10"/>
        <v>1</v>
      </c>
      <c r="L37" s="36">
        <f t="shared" si="10"/>
        <v>0.2</v>
      </c>
      <c r="N37" s="41">
        <v>6</v>
      </c>
      <c r="O37" s="40">
        <f>O36*(1-D31)*H36</f>
        <v>0.2621440000000001</v>
      </c>
      <c r="P37" s="42" t="e">
        <f t="shared" si="6"/>
        <v>#DIV/0!</v>
      </c>
      <c r="Q37" s="53" t="e">
        <f t="shared" si="8"/>
        <v>#DIV/0!</v>
      </c>
      <c r="R37" s="40">
        <f>$R36*(1-$H$4)*H$10</f>
        <v>0.2621440000000001</v>
      </c>
      <c r="S37" s="40">
        <v>0.02</v>
      </c>
      <c r="T37" s="42">
        <f t="shared" si="7"/>
        <v>0</v>
      </c>
      <c r="U37" s="53" t="e">
        <f t="shared" si="9"/>
        <v>#DIV/0!</v>
      </c>
      <c r="V37">
        <v>6</v>
      </c>
    </row>
    <row r="38" spans="14:22" ht="12.75">
      <c r="N38" s="41">
        <v>7</v>
      </c>
      <c r="O38" s="40">
        <f>O37*(1-D31)*I36</f>
        <v>0.2097152000000001</v>
      </c>
      <c r="P38" s="42" t="e">
        <f t="shared" si="6"/>
        <v>#DIV/0!</v>
      </c>
      <c r="Q38" s="53" t="e">
        <f t="shared" si="8"/>
        <v>#DIV/0!</v>
      </c>
      <c r="R38" s="40">
        <f>$R37*(1-$H$4)*I$10</f>
        <v>0.2097152000000001</v>
      </c>
      <c r="S38" s="40">
        <v>0.02</v>
      </c>
      <c r="T38" s="42">
        <f t="shared" si="7"/>
        <v>0</v>
      </c>
      <c r="U38" s="53" t="e">
        <f t="shared" si="9"/>
        <v>#DIV/0!</v>
      </c>
      <c r="V38">
        <v>7</v>
      </c>
    </row>
    <row r="39" spans="14:22" ht="12.75">
      <c r="N39" s="41">
        <v>8</v>
      </c>
      <c r="O39" s="40">
        <f>O38*(1-D31)*J36</f>
        <v>0.1677721600000001</v>
      </c>
      <c r="P39" s="42" t="e">
        <f t="shared" si="6"/>
        <v>#DIV/0!</v>
      </c>
      <c r="Q39" s="53" t="e">
        <f t="shared" si="8"/>
        <v>#DIV/0!</v>
      </c>
      <c r="R39" s="40">
        <f>$R38*(1-$H$4)*J$10</f>
        <v>0.1677721600000001</v>
      </c>
      <c r="S39" s="40">
        <v>0.02</v>
      </c>
      <c r="T39" s="42">
        <f t="shared" si="7"/>
        <v>0</v>
      </c>
      <c r="U39" s="53" t="e">
        <f t="shared" si="9"/>
        <v>#DIV/0!</v>
      </c>
      <c r="V39">
        <v>8</v>
      </c>
    </row>
    <row r="40" spans="2:22" ht="12.75">
      <c r="B40" s="37" t="s">
        <v>49</v>
      </c>
      <c r="N40" s="41" t="s">
        <v>46</v>
      </c>
      <c r="O40" s="40">
        <f>O39*(1-D31)*K36</f>
        <v>0.13421772800000006</v>
      </c>
      <c r="P40" s="42" t="e">
        <f>$D$30*(SUM(O40:O46)/$O$47)</f>
        <v>#DIV/0!</v>
      </c>
      <c r="Q40" s="53" t="e">
        <f t="shared" si="8"/>
        <v>#DIV/0!</v>
      </c>
      <c r="R40" s="40">
        <f>$R39*(1-$H$4)*K$10</f>
        <v>0.13421772800000006</v>
      </c>
      <c r="S40" s="40">
        <v>0.2</v>
      </c>
      <c r="T40" s="42">
        <f>$H$30*(SUM(R40:R46)/$R$47)</f>
        <v>0</v>
      </c>
      <c r="U40" s="53" t="e">
        <f t="shared" si="9"/>
        <v>#DIV/0!</v>
      </c>
      <c r="V40" s="45" t="s">
        <v>45</v>
      </c>
    </row>
    <row r="41" spans="2:20" ht="12.75">
      <c r="B41" s="37" t="s">
        <v>50</v>
      </c>
      <c r="C41" s="46"/>
      <c r="N41" s="41">
        <v>10</v>
      </c>
      <c r="O41" s="40">
        <f>O40*(1-D31)*L36</f>
        <v>0.021474836480000013</v>
      </c>
      <c r="P41" s="40"/>
      <c r="Q41" s="40"/>
      <c r="R41" s="40">
        <f aca="true" t="shared" si="11" ref="R41:R46">$R40*(1-$H$4)*L$10</f>
        <v>0.021474836480000013</v>
      </c>
      <c r="S41" s="40"/>
      <c r="T41" s="40"/>
    </row>
    <row r="42" spans="2:21" ht="12.75">
      <c r="B42" s="37" t="s">
        <v>51</v>
      </c>
      <c r="C42" s="46"/>
      <c r="N42" s="41">
        <v>11</v>
      </c>
      <c r="O42" s="40">
        <f>O41*(1-D31)*L36</f>
        <v>0.0034359738368000023</v>
      </c>
      <c r="P42" s="40"/>
      <c r="Q42" s="40"/>
      <c r="R42" s="40">
        <f t="shared" si="11"/>
        <v>0.0034359738368000023</v>
      </c>
      <c r="S42" s="40"/>
      <c r="T42" s="40"/>
      <c r="U42" s="43"/>
    </row>
    <row r="43" spans="2:20" ht="12.75">
      <c r="B43" s="37" t="s">
        <v>52</v>
      </c>
      <c r="C43" s="46"/>
      <c r="N43" s="41">
        <v>12</v>
      </c>
      <c r="O43" s="40">
        <f>O42*(1-D31)*L36</f>
        <v>0.0005497558138880005</v>
      </c>
      <c r="P43" s="40"/>
      <c r="Q43" s="40"/>
      <c r="R43" s="40">
        <f t="shared" si="11"/>
        <v>0.0005497558138880005</v>
      </c>
      <c r="S43" s="40"/>
      <c r="T43" s="40"/>
    </row>
    <row r="44" spans="2:20" ht="12.75">
      <c r="B44" s="37" t="s">
        <v>66</v>
      </c>
      <c r="C44" s="46"/>
      <c r="N44" s="41">
        <v>13</v>
      </c>
      <c r="O44" s="40">
        <f>O43*(1-D31)*L36</f>
        <v>8.796093022208009E-05</v>
      </c>
      <c r="P44" s="40"/>
      <c r="Q44" s="40"/>
      <c r="R44" s="40">
        <f t="shared" si="11"/>
        <v>8.796093022208009E-05</v>
      </c>
      <c r="S44" s="40"/>
      <c r="T44" s="40"/>
    </row>
    <row r="45" spans="2:20" ht="12.75">
      <c r="B45" s="37" t="s">
        <v>64</v>
      </c>
      <c r="N45" s="41">
        <v>14</v>
      </c>
      <c r="O45" s="40">
        <f>O44*(1-D31)*L36</f>
        <v>1.4073748835532815E-05</v>
      </c>
      <c r="P45" s="40"/>
      <c r="Q45" s="40"/>
      <c r="R45" s="40">
        <f t="shared" si="11"/>
        <v>1.4073748835532815E-05</v>
      </c>
      <c r="S45" s="40"/>
      <c r="T45" s="40"/>
    </row>
    <row r="46" spans="2:20" ht="12.75">
      <c r="B46" s="37" t="s">
        <v>65</v>
      </c>
      <c r="N46" s="47">
        <v>15</v>
      </c>
      <c r="O46" s="48">
        <f>O45*(1-D31)*L36</f>
        <v>2.2517998136852508E-06</v>
      </c>
      <c r="P46" s="48"/>
      <c r="Q46" s="48"/>
      <c r="R46" s="48">
        <f t="shared" si="11"/>
        <v>2.2517998136852508E-06</v>
      </c>
      <c r="S46" s="48"/>
      <c r="T46" s="48"/>
    </row>
    <row r="47" spans="14:21" ht="12.75">
      <c r="N47" s="41" t="s">
        <v>47</v>
      </c>
      <c r="O47" s="40">
        <f>SUM(O32:O46)</f>
        <v>3.4886939406095605</v>
      </c>
      <c r="P47" s="49" t="e">
        <f>SUM(P32:P40)</f>
        <v>#DIV/0!</v>
      </c>
      <c r="Q47" s="49" t="e">
        <f>SUM(Q33:Q40)</f>
        <v>#DIV/0!</v>
      </c>
      <c r="R47" s="40">
        <f>SUM(R32:R46)</f>
        <v>3.4886939406095605</v>
      </c>
      <c r="S47" s="40"/>
      <c r="T47" s="49">
        <f>SUM(T32:T40)</f>
        <v>0</v>
      </c>
      <c r="U47" s="49" t="e">
        <f>SUM(U33:U40)</f>
        <v>#DIV/0!</v>
      </c>
    </row>
    <row r="48" ht="12.75">
      <c r="B48" s="37" t="s">
        <v>53</v>
      </c>
    </row>
    <row r="49" ht="12.75">
      <c r="B49" s="37" t="s">
        <v>54</v>
      </c>
    </row>
    <row r="50" ht="12.75">
      <c r="B50" s="37" t="s">
        <v>55</v>
      </c>
    </row>
    <row r="51" spans="2:13" ht="12.75">
      <c r="B51" s="37" t="s">
        <v>56</v>
      </c>
      <c r="M51" s="37"/>
    </row>
    <row r="52" spans="3:7" ht="12.75">
      <c r="C52" s="50" t="s">
        <v>48</v>
      </c>
      <c r="D52" s="51"/>
      <c r="E52" s="51"/>
      <c r="F52" s="51"/>
      <c r="G52" s="52"/>
    </row>
  </sheetData>
  <sheetProtection password="8E21" sheet="1" objects="1" scenarios="1" selectLockedCells="1" selectUnlockedCells="1"/>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cordery</dc:creator>
  <cp:keywords/>
  <dc:description/>
  <cp:lastModifiedBy>cordery</cp:lastModifiedBy>
  <cp:lastPrinted>2009-06-17T11:10:04Z</cp:lastPrinted>
  <dcterms:created xsi:type="dcterms:W3CDTF">2008-11-24T18:16:11Z</dcterms:created>
  <dcterms:modified xsi:type="dcterms:W3CDTF">2009-06-17T12:09:20Z</dcterms:modified>
  <cp:category/>
  <cp:version/>
  <cp:contentType/>
  <cp:contentStatus/>
</cp:coreProperties>
</file>